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UBL.JUL" sheetId="1" r:id="rId1"/>
  </sheets>
  <calcPr calcId="144525"/>
</workbook>
</file>

<file path=xl/calcChain.xml><?xml version="1.0" encoding="utf-8"?>
<calcChain xmlns="http://schemas.openxmlformats.org/spreadsheetml/2006/main">
  <c r="Y154" i="1" l="1"/>
  <c r="T154" i="1"/>
  <c r="R154" i="1"/>
  <c r="Q154" i="1"/>
  <c r="N154" i="1"/>
  <c r="M154" i="1"/>
  <c r="L154" i="1"/>
  <c r="K154" i="1"/>
  <c r="J154" i="1"/>
  <c r="S154" i="1" s="1"/>
  <c r="I154" i="1"/>
  <c r="O154" i="1" s="1"/>
  <c r="O153" i="1" s="1"/>
  <c r="F154" i="1"/>
  <c r="P154" i="1" s="1"/>
  <c r="P153" i="1" s="1"/>
  <c r="BG153" i="1"/>
  <c r="BF153" i="1"/>
  <c r="M153" i="1" s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Q153" i="1"/>
  <c r="N153" i="1"/>
  <c r="L153" i="1"/>
  <c r="K153" i="1"/>
  <c r="J153" i="1"/>
  <c r="I153" i="1"/>
  <c r="H153" i="1"/>
  <c r="T153" i="1" s="1"/>
  <c r="E153" i="1"/>
  <c r="R153" i="1" s="1"/>
  <c r="S152" i="1"/>
  <c r="P152" i="1"/>
  <c r="N152" i="1"/>
  <c r="M152" i="1"/>
  <c r="L152" i="1"/>
  <c r="K152" i="1"/>
  <c r="T152" i="1" s="1"/>
  <c r="J152" i="1"/>
  <c r="I152" i="1"/>
  <c r="O152" i="1" s="1"/>
  <c r="S151" i="1"/>
  <c r="P151" i="1"/>
  <c r="N151" i="1"/>
  <c r="M151" i="1"/>
  <c r="L151" i="1"/>
  <c r="K151" i="1"/>
  <c r="T151" i="1" s="1"/>
  <c r="J151" i="1"/>
  <c r="I151" i="1"/>
  <c r="O151" i="1" s="1"/>
  <c r="S150" i="1"/>
  <c r="P150" i="1"/>
  <c r="N150" i="1"/>
  <c r="M150" i="1"/>
  <c r="L150" i="1"/>
  <c r="K150" i="1"/>
  <c r="T150" i="1" s="1"/>
  <c r="J150" i="1"/>
  <c r="I150" i="1"/>
  <c r="O150" i="1" s="1"/>
  <c r="S149" i="1"/>
  <c r="Q149" i="1"/>
  <c r="P149" i="1"/>
  <c r="N149" i="1"/>
  <c r="M149" i="1"/>
  <c r="L149" i="1"/>
  <c r="K149" i="1"/>
  <c r="T149" i="1" s="1"/>
  <c r="J149" i="1"/>
  <c r="I149" i="1"/>
  <c r="O149" i="1" s="1"/>
  <c r="S148" i="1"/>
  <c r="Q148" i="1"/>
  <c r="N148" i="1"/>
  <c r="M148" i="1"/>
  <c r="L148" i="1"/>
  <c r="K148" i="1"/>
  <c r="T148" i="1" s="1"/>
  <c r="J148" i="1"/>
  <c r="P148" i="1" s="1"/>
  <c r="I148" i="1"/>
  <c r="O148" i="1" s="1"/>
  <c r="S147" i="1"/>
  <c r="Q147" i="1"/>
  <c r="N147" i="1"/>
  <c r="M147" i="1"/>
  <c r="L147" i="1"/>
  <c r="K147" i="1"/>
  <c r="T147" i="1" s="1"/>
  <c r="J147" i="1"/>
  <c r="P147" i="1" s="1"/>
  <c r="P146" i="1" s="1"/>
  <c r="I147" i="1"/>
  <c r="O147" i="1" s="1"/>
  <c r="BG146" i="1"/>
  <c r="BF146" i="1"/>
  <c r="M146" i="1" s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N146" i="1" s="1"/>
  <c r="AE146" i="1"/>
  <c r="AD146" i="1"/>
  <c r="AC146" i="1"/>
  <c r="AB146" i="1"/>
  <c r="AA146" i="1"/>
  <c r="Z146" i="1"/>
  <c r="Y146" i="1"/>
  <c r="X146" i="1"/>
  <c r="W146" i="1"/>
  <c r="V146" i="1"/>
  <c r="U146" i="1"/>
  <c r="L146" i="1"/>
  <c r="J146" i="1"/>
  <c r="S146" i="1" s="1"/>
  <c r="H146" i="1"/>
  <c r="F146" i="1"/>
  <c r="E146" i="1"/>
  <c r="S145" i="1"/>
  <c r="O145" i="1"/>
  <c r="N145" i="1"/>
  <c r="M145" i="1"/>
  <c r="L145" i="1"/>
  <c r="K145" i="1"/>
  <c r="Q145" i="1" s="1"/>
  <c r="J145" i="1"/>
  <c r="I145" i="1"/>
  <c r="R145" i="1" s="1"/>
  <c r="F145" i="1"/>
  <c r="P145" i="1" s="1"/>
  <c r="AJ144" i="1"/>
  <c r="L144" i="1" s="1"/>
  <c r="S144" i="1"/>
  <c r="Q144" i="1"/>
  <c r="N144" i="1"/>
  <c r="M144" i="1"/>
  <c r="K144" i="1"/>
  <c r="T144" i="1" s="1"/>
  <c r="J144" i="1"/>
  <c r="P144" i="1" s="1"/>
  <c r="I144" i="1"/>
  <c r="O144" i="1" s="1"/>
  <c r="AG143" i="1"/>
  <c r="T143" i="1"/>
  <c r="R143" i="1"/>
  <c r="N143" i="1"/>
  <c r="M143" i="1"/>
  <c r="L143" i="1"/>
  <c r="K143" i="1"/>
  <c r="Q143" i="1" s="1"/>
  <c r="J143" i="1"/>
  <c r="J139" i="1" s="1"/>
  <c r="I143" i="1"/>
  <c r="E143" i="1"/>
  <c r="O143" i="1" s="1"/>
  <c r="O139" i="1" s="1"/>
  <c r="S142" i="1"/>
  <c r="O142" i="1"/>
  <c r="N142" i="1"/>
  <c r="M142" i="1"/>
  <c r="L142" i="1"/>
  <c r="K142" i="1"/>
  <c r="Q142" i="1" s="1"/>
  <c r="Q139" i="1" s="1"/>
  <c r="J142" i="1"/>
  <c r="P142" i="1" s="1"/>
  <c r="I142" i="1"/>
  <c r="R142" i="1" s="1"/>
  <c r="E140" i="1"/>
  <c r="BG139" i="1"/>
  <c r="N139" i="1" s="1"/>
  <c r="BF139" i="1"/>
  <c r="BE139" i="1"/>
  <c r="BE138" i="1" s="1"/>
  <c r="BD139" i="1"/>
  <c r="BC139" i="1"/>
  <c r="BC138" i="1" s="1"/>
  <c r="BB139" i="1"/>
  <c r="BA139" i="1"/>
  <c r="BA138" i="1" s="1"/>
  <c r="AZ139" i="1"/>
  <c r="AY139" i="1"/>
  <c r="AY138" i="1" s="1"/>
  <c r="AX139" i="1"/>
  <c r="AW139" i="1"/>
  <c r="AW138" i="1" s="1"/>
  <c r="AV139" i="1"/>
  <c r="AU139" i="1"/>
  <c r="AU138" i="1" s="1"/>
  <c r="AT139" i="1"/>
  <c r="AS139" i="1"/>
  <c r="AS138" i="1" s="1"/>
  <c r="AR139" i="1"/>
  <c r="AQ139" i="1"/>
  <c r="AQ138" i="1" s="1"/>
  <c r="AP139" i="1"/>
  <c r="AO139" i="1"/>
  <c r="AO138" i="1" s="1"/>
  <c r="AN139" i="1"/>
  <c r="AM139" i="1"/>
  <c r="AM138" i="1" s="1"/>
  <c r="AL139" i="1"/>
  <c r="AK139" i="1"/>
  <c r="AK138" i="1" s="1"/>
  <c r="AI139" i="1"/>
  <c r="AI138" i="1" s="1"/>
  <c r="AH139" i="1"/>
  <c r="AG139" i="1"/>
  <c r="AG138" i="1" s="1"/>
  <c r="AF139" i="1"/>
  <c r="AE139" i="1"/>
  <c r="M139" i="1" s="1"/>
  <c r="AD139" i="1"/>
  <c r="AC139" i="1"/>
  <c r="AC138" i="1" s="1"/>
  <c r="AB139" i="1"/>
  <c r="AA139" i="1"/>
  <c r="AA138" i="1" s="1"/>
  <c r="Z139" i="1"/>
  <c r="Y139" i="1"/>
  <c r="Y138" i="1" s="1"/>
  <c r="X139" i="1"/>
  <c r="W139" i="1"/>
  <c r="W138" i="1" s="1"/>
  <c r="V139" i="1"/>
  <c r="U139" i="1"/>
  <c r="U138" i="1" s="1"/>
  <c r="K139" i="1"/>
  <c r="T139" i="1" s="1"/>
  <c r="I139" i="1"/>
  <c r="R139" i="1" s="1"/>
  <c r="H139" i="1"/>
  <c r="G139" i="1"/>
  <c r="G138" i="1" s="1"/>
  <c r="F139" i="1"/>
  <c r="E139" i="1"/>
  <c r="E138" i="1" s="1"/>
  <c r="BF138" i="1"/>
  <c r="BD138" i="1"/>
  <c r="BB138" i="1"/>
  <c r="AZ138" i="1"/>
  <c r="AX138" i="1"/>
  <c r="AV138" i="1"/>
  <c r="AT138" i="1"/>
  <c r="AR138" i="1"/>
  <c r="AP138" i="1"/>
  <c r="AN138" i="1"/>
  <c r="AL138" i="1"/>
  <c r="AH138" i="1"/>
  <c r="AF138" i="1"/>
  <c r="AD138" i="1"/>
  <c r="AB138" i="1"/>
  <c r="Z138" i="1"/>
  <c r="X138" i="1"/>
  <c r="V138" i="1"/>
  <c r="H138" i="1"/>
  <c r="F138" i="1"/>
  <c r="T137" i="1"/>
  <c r="R137" i="1"/>
  <c r="O137" i="1"/>
  <c r="N137" i="1"/>
  <c r="M137" i="1"/>
  <c r="L137" i="1"/>
  <c r="K137" i="1"/>
  <c r="Q137" i="1" s="1"/>
  <c r="J137" i="1"/>
  <c r="S136" i="1"/>
  <c r="Q136" i="1"/>
  <c r="N136" i="1"/>
  <c r="M136" i="1"/>
  <c r="L136" i="1"/>
  <c r="K136" i="1"/>
  <c r="T136" i="1" s="1"/>
  <c r="J136" i="1"/>
  <c r="P136" i="1" s="1"/>
  <c r="I136" i="1"/>
  <c r="BG135" i="1"/>
  <c r="BF135" i="1"/>
  <c r="M135" i="1" s="1"/>
  <c r="BE135" i="1"/>
  <c r="BD135" i="1"/>
  <c r="BD130" i="1" s="1"/>
  <c r="BC135" i="1"/>
  <c r="BB135" i="1"/>
  <c r="BB130" i="1" s="1"/>
  <c r="BA135" i="1"/>
  <c r="AZ135" i="1"/>
  <c r="AZ130" i="1" s="1"/>
  <c r="AY135" i="1"/>
  <c r="AX135" i="1"/>
  <c r="AX130" i="1" s="1"/>
  <c r="AW135" i="1"/>
  <c r="AV135" i="1"/>
  <c r="AV130" i="1" s="1"/>
  <c r="AU135" i="1"/>
  <c r="AT135" i="1"/>
  <c r="AT130" i="1" s="1"/>
  <c r="AS135" i="1"/>
  <c r="AR135" i="1"/>
  <c r="AR130" i="1" s="1"/>
  <c r="AQ135" i="1"/>
  <c r="AP135" i="1"/>
  <c r="AP130" i="1" s="1"/>
  <c r="AO135" i="1"/>
  <c r="AN135" i="1"/>
  <c r="AN130" i="1" s="1"/>
  <c r="AM135" i="1"/>
  <c r="AL135" i="1"/>
  <c r="AL130" i="1" s="1"/>
  <c r="AK135" i="1"/>
  <c r="AJ135" i="1"/>
  <c r="AJ130" i="1" s="1"/>
  <c r="AI135" i="1"/>
  <c r="AH135" i="1"/>
  <c r="AH130" i="1" s="1"/>
  <c r="AG135" i="1"/>
  <c r="AF135" i="1"/>
  <c r="AE135" i="1"/>
  <c r="AD135" i="1"/>
  <c r="AD130" i="1" s="1"/>
  <c r="AC135" i="1"/>
  <c r="AB135" i="1"/>
  <c r="AB130" i="1" s="1"/>
  <c r="AA135" i="1"/>
  <c r="Z135" i="1"/>
  <c r="Z130" i="1" s="1"/>
  <c r="Y135" i="1"/>
  <c r="X135" i="1"/>
  <c r="X130" i="1" s="1"/>
  <c r="W135" i="1"/>
  <c r="V135" i="1"/>
  <c r="V130" i="1" s="1"/>
  <c r="U135" i="1"/>
  <c r="L135" i="1"/>
  <c r="H135" i="1"/>
  <c r="H130" i="1" s="1"/>
  <c r="H129" i="1" s="1"/>
  <c r="G135" i="1"/>
  <c r="F135" i="1"/>
  <c r="E135" i="1"/>
  <c r="T134" i="1"/>
  <c r="R134" i="1"/>
  <c r="N134" i="1"/>
  <c r="M134" i="1"/>
  <c r="L134" i="1"/>
  <c r="K134" i="1"/>
  <c r="Q134" i="1" s="1"/>
  <c r="J134" i="1"/>
  <c r="S134" i="1" s="1"/>
  <c r="I134" i="1"/>
  <c r="O134" i="1" s="1"/>
  <c r="T133" i="1"/>
  <c r="R133" i="1"/>
  <c r="P133" i="1"/>
  <c r="N133" i="1"/>
  <c r="M133" i="1"/>
  <c r="L133" i="1"/>
  <c r="K133" i="1"/>
  <c r="Q133" i="1" s="1"/>
  <c r="J133" i="1"/>
  <c r="S133" i="1" s="1"/>
  <c r="I133" i="1"/>
  <c r="O133" i="1" s="1"/>
  <c r="T132" i="1"/>
  <c r="R132" i="1"/>
  <c r="Q132" i="1"/>
  <c r="N132" i="1"/>
  <c r="M132" i="1"/>
  <c r="L132" i="1"/>
  <c r="K132" i="1"/>
  <c r="J132" i="1"/>
  <c r="I132" i="1"/>
  <c r="O132" i="1" s="1"/>
  <c r="O131" i="1" s="1"/>
  <c r="BG131" i="1"/>
  <c r="BF131" i="1"/>
  <c r="BE131" i="1"/>
  <c r="BD131" i="1"/>
  <c r="BC131" i="1"/>
  <c r="BB131" i="1"/>
  <c r="BA131" i="1"/>
  <c r="AZ131" i="1"/>
  <c r="AY131" i="1"/>
  <c r="AX131" i="1"/>
  <c r="AW131" i="1"/>
  <c r="AW130" i="1" s="1"/>
  <c r="AW129" i="1" s="1"/>
  <c r="AV131" i="1"/>
  <c r="AU131" i="1"/>
  <c r="AT131" i="1"/>
  <c r="AS131" i="1"/>
  <c r="AR131" i="1"/>
  <c r="AQ131" i="1"/>
  <c r="AP131" i="1"/>
  <c r="AO131" i="1"/>
  <c r="AO130" i="1" s="1"/>
  <c r="AO129" i="1" s="1"/>
  <c r="AN131" i="1"/>
  <c r="AM131" i="1"/>
  <c r="AL131" i="1"/>
  <c r="AK131" i="1"/>
  <c r="AJ131" i="1"/>
  <c r="AI131" i="1"/>
  <c r="AH131" i="1"/>
  <c r="AG131" i="1"/>
  <c r="AG130" i="1" s="1"/>
  <c r="AG129" i="1" s="1"/>
  <c r="AF131" i="1"/>
  <c r="AE131" i="1"/>
  <c r="M131" i="1" s="1"/>
  <c r="AD131" i="1"/>
  <c r="AC131" i="1"/>
  <c r="AB131" i="1"/>
  <c r="AA131" i="1"/>
  <c r="Z131" i="1"/>
  <c r="Y131" i="1"/>
  <c r="Y130" i="1" s="1"/>
  <c r="Y129" i="1" s="1"/>
  <c r="X131" i="1"/>
  <c r="W131" i="1"/>
  <c r="V131" i="1"/>
  <c r="U131" i="1"/>
  <c r="Q131" i="1"/>
  <c r="K131" i="1"/>
  <c r="T131" i="1" s="1"/>
  <c r="I131" i="1"/>
  <c r="R131" i="1" s="1"/>
  <c r="H131" i="1"/>
  <c r="F131" i="1"/>
  <c r="F130" i="1" s="1"/>
  <c r="E131" i="1"/>
  <c r="BG130" i="1"/>
  <c r="BC130" i="1"/>
  <c r="BC129" i="1" s="1"/>
  <c r="BA130" i="1"/>
  <c r="BA129" i="1" s="1"/>
  <c r="AY130" i="1"/>
  <c r="AY129" i="1" s="1"/>
  <c r="AU130" i="1"/>
  <c r="AU129" i="1" s="1"/>
  <c r="AS130" i="1"/>
  <c r="AS129" i="1" s="1"/>
  <c r="AQ130" i="1"/>
  <c r="AQ129" i="1" s="1"/>
  <c r="AM130" i="1"/>
  <c r="AM129" i="1" s="1"/>
  <c r="AK130" i="1"/>
  <c r="AK129" i="1" s="1"/>
  <c r="AI130" i="1"/>
  <c r="AI129" i="1" s="1"/>
  <c r="AE130" i="1"/>
  <c r="AC130" i="1"/>
  <c r="AC129" i="1" s="1"/>
  <c r="AA130" i="1"/>
  <c r="AA129" i="1" s="1"/>
  <c r="W130" i="1"/>
  <c r="W129" i="1" s="1"/>
  <c r="U130" i="1"/>
  <c r="U129" i="1" s="1"/>
  <c r="G130" i="1"/>
  <c r="G129" i="1" s="1"/>
  <c r="E130" i="1"/>
  <c r="E129" i="1" s="1"/>
  <c r="BD129" i="1"/>
  <c r="BB129" i="1"/>
  <c r="AZ129" i="1"/>
  <c r="AX129" i="1"/>
  <c r="AV129" i="1"/>
  <c r="AT129" i="1"/>
  <c r="AR129" i="1"/>
  <c r="AP129" i="1"/>
  <c r="AN129" i="1"/>
  <c r="AL129" i="1"/>
  <c r="AH129" i="1"/>
  <c r="AD129" i="1"/>
  <c r="AB129" i="1"/>
  <c r="Z129" i="1"/>
  <c r="X129" i="1"/>
  <c r="V129" i="1"/>
  <c r="T128" i="1"/>
  <c r="R128" i="1"/>
  <c r="Q128" i="1"/>
  <c r="N128" i="1"/>
  <c r="M128" i="1"/>
  <c r="L128" i="1"/>
  <c r="K128" i="1"/>
  <c r="J128" i="1"/>
  <c r="S128" i="1" s="1"/>
  <c r="I128" i="1"/>
  <c r="O128" i="1" s="1"/>
  <c r="AB127" i="1"/>
  <c r="Q127" i="1"/>
  <c r="O127" i="1"/>
  <c r="N127" i="1"/>
  <c r="M127" i="1"/>
  <c r="L127" i="1"/>
  <c r="K127" i="1"/>
  <c r="T127" i="1" s="1"/>
  <c r="I127" i="1"/>
  <c r="R127" i="1" s="1"/>
  <c r="F127" i="1"/>
  <c r="T126" i="1"/>
  <c r="R126" i="1"/>
  <c r="O126" i="1"/>
  <c r="N126" i="1"/>
  <c r="M126" i="1"/>
  <c r="L126" i="1"/>
  <c r="K126" i="1"/>
  <c r="Q126" i="1" s="1"/>
  <c r="Q125" i="1" s="1"/>
  <c r="J126" i="1"/>
  <c r="S126" i="1" s="1"/>
  <c r="I126" i="1"/>
  <c r="BG125" i="1"/>
  <c r="BF125" i="1"/>
  <c r="BE125" i="1"/>
  <c r="L125" i="1" s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A125" i="1"/>
  <c r="Z125" i="1"/>
  <c r="Y125" i="1"/>
  <c r="X125" i="1"/>
  <c r="W125" i="1"/>
  <c r="V125" i="1"/>
  <c r="U125" i="1"/>
  <c r="O125" i="1"/>
  <c r="N125" i="1"/>
  <c r="K125" i="1"/>
  <c r="T125" i="1" s="1"/>
  <c r="I125" i="1"/>
  <c r="R125" i="1" s="1"/>
  <c r="H125" i="1"/>
  <c r="F125" i="1"/>
  <c r="E125" i="1"/>
  <c r="T124" i="1"/>
  <c r="Q124" i="1"/>
  <c r="N124" i="1"/>
  <c r="M124" i="1"/>
  <c r="L124" i="1"/>
  <c r="K124" i="1"/>
  <c r="J124" i="1"/>
  <c r="P124" i="1" s="1"/>
  <c r="I124" i="1"/>
  <c r="O124" i="1" s="1"/>
  <c r="AN122" i="1"/>
  <c r="AH122" i="1"/>
  <c r="AB122" i="1"/>
  <c r="Y122" i="1"/>
  <c r="T122" i="1"/>
  <c r="Q122" i="1"/>
  <c r="N122" i="1"/>
  <c r="M122" i="1"/>
  <c r="L122" i="1"/>
  <c r="K122" i="1"/>
  <c r="J122" i="1"/>
  <c r="P122" i="1" s="1"/>
  <c r="P121" i="1" s="1"/>
  <c r="I122" i="1"/>
  <c r="O122" i="1" s="1"/>
  <c r="O121" i="1" s="1"/>
  <c r="BG121" i="1"/>
  <c r="N121" i="1" s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Q121" i="1"/>
  <c r="M121" i="1"/>
  <c r="L121" i="1"/>
  <c r="K121" i="1"/>
  <c r="I121" i="1"/>
  <c r="R121" i="1" s="1"/>
  <c r="H121" i="1"/>
  <c r="T121" i="1" s="1"/>
  <c r="F121" i="1"/>
  <c r="E121" i="1"/>
  <c r="S120" i="1"/>
  <c r="R120" i="1"/>
  <c r="P120" i="1"/>
  <c r="O120" i="1"/>
  <c r="N120" i="1"/>
  <c r="M120" i="1"/>
  <c r="L120" i="1"/>
  <c r="K120" i="1"/>
  <c r="Q120" i="1" s="1"/>
  <c r="J120" i="1"/>
  <c r="I120" i="1"/>
  <c r="S119" i="1"/>
  <c r="R119" i="1"/>
  <c r="P119" i="1"/>
  <c r="O119" i="1"/>
  <c r="N119" i="1"/>
  <c r="M119" i="1"/>
  <c r="L119" i="1"/>
  <c r="K119" i="1"/>
  <c r="Q119" i="1" s="1"/>
  <c r="J119" i="1"/>
  <c r="I119" i="1"/>
  <c r="S118" i="1"/>
  <c r="R118" i="1"/>
  <c r="P118" i="1"/>
  <c r="P117" i="1" s="1"/>
  <c r="O118" i="1"/>
  <c r="N118" i="1"/>
  <c r="M118" i="1"/>
  <c r="L118" i="1"/>
  <c r="K118" i="1"/>
  <c r="Q118" i="1" s="1"/>
  <c r="J118" i="1"/>
  <c r="I118" i="1"/>
  <c r="BG117" i="1"/>
  <c r="BF117" i="1"/>
  <c r="M117" i="1" s="1"/>
  <c r="BE117" i="1"/>
  <c r="L117" i="1" s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O117" i="1"/>
  <c r="N117" i="1"/>
  <c r="K117" i="1"/>
  <c r="T117" i="1" s="1"/>
  <c r="J117" i="1"/>
  <c r="S117" i="1" s="1"/>
  <c r="I117" i="1"/>
  <c r="H117" i="1"/>
  <c r="F117" i="1"/>
  <c r="E117" i="1"/>
  <c r="R117" i="1" s="1"/>
  <c r="T116" i="1"/>
  <c r="Q116" i="1"/>
  <c r="N116" i="1"/>
  <c r="M116" i="1"/>
  <c r="L116" i="1"/>
  <c r="K116" i="1"/>
  <c r="J116" i="1"/>
  <c r="P116" i="1" s="1"/>
  <c r="I116" i="1"/>
  <c r="O116" i="1" s="1"/>
  <c r="T115" i="1"/>
  <c r="Q115" i="1"/>
  <c r="N115" i="1"/>
  <c r="M115" i="1"/>
  <c r="L115" i="1"/>
  <c r="K115" i="1"/>
  <c r="J115" i="1"/>
  <c r="P115" i="1" s="1"/>
  <c r="I115" i="1"/>
  <c r="O115" i="1" s="1"/>
  <c r="T114" i="1"/>
  <c r="Q114" i="1"/>
  <c r="N114" i="1"/>
  <c r="M114" i="1"/>
  <c r="L114" i="1"/>
  <c r="K114" i="1"/>
  <c r="J114" i="1"/>
  <c r="P114" i="1" s="1"/>
  <c r="P113" i="1" s="1"/>
  <c r="I114" i="1"/>
  <c r="O114" i="1" s="1"/>
  <c r="O113" i="1" s="1"/>
  <c r="BG113" i="1"/>
  <c r="N113" i="1" s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Q113" i="1"/>
  <c r="M113" i="1"/>
  <c r="L113" i="1"/>
  <c r="K113" i="1"/>
  <c r="I113" i="1"/>
  <c r="H113" i="1"/>
  <c r="F113" i="1"/>
  <c r="E113" i="1"/>
  <c r="S112" i="1"/>
  <c r="R112" i="1"/>
  <c r="P112" i="1"/>
  <c r="P111" i="1" s="1"/>
  <c r="O112" i="1"/>
  <c r="N112" i="1"/>
  <c r="M112" i="1"/>
  <c r="L112" i="1"/>
  <c r="K112" i="1"/>
  <c r="Q112" i="1" s="1"/>
  <c r="Q111" i="1" s="1"/>
  <c r="J112" i="1"/>
  <c r="I112" i="1"/>
  <c r="BG111" i="1"/>
  <c r="BF111" i="1"/>
  <c r="M111" i="1" s="1"/>
  <c r="BE111" i="1"/>
  <c r="L111" i="1" s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S111" i="1"/>
  <c r="R111" i="1"/>
  <c r="O111" i="1"/>
  <c r="N111" i="1"/>
  <c r="K111" i="1"/>
  <c r="J111" i="1"/>
  <c r="I111" i="1"/>
  <c r="H111" i="1"/>
  <c r="F111" i="1"/>
  <c r="E111" i="1"/>
  <c r="AI110" i="1"/>
  <c r="AF110" i="1"/>
  <c r="S110" i="1"/>
  <c r="R110" i="1"/>
  <c r="P110" i="1"/>
  <c r="O110" i="1"/>
  <c r="N110" i="1"/>
  <c r="M110" i="1"/>
  <c r="L110" i="1"/>
  <c r="K110" i="1"/>
  <c r="T110" i="1" s="1"/>
  <c r="T109" i="1" s="1"/>
  <c r="J110" i="1"/>
  <c r="I110" i="1"/>
  <c r="H110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S109" i="1"/>
  <c r="R109" i="1"/>
  <c r="P109" i="1"/>
  <c r="O109" i="1"/>
  <c r="L109" i="1"/>
  <c r="J109" i="1"/>
  <c r="I109" i="1"/>
  <c r="H109" i="1"/>
  <c r="F109" i="1"/>
  <c r="E109" i="1"/>
  <c r="R108" i="1"/>
  <c r="O108" i="1"/>
  <c r="N108" i="1"/>
  <c r="M108" i="1"/>
  <c r="L108" i="1"/>
  <c r="K108" i="1"/>
  <c r="J108" i="1"/>
  <c r="P108" i="1" s="1"/>
  <c r="I108" i="1"/>
  <c r="Q107" i="1"/>
  <c r="N107" i="1"/>
  <c r="M107" i="1"/>
  <c r="L107" i="1"/>
  <c r="K107" i="1"/>
  <c r="T107" i="1" s="1"/>
  <c r="J107" i="1"/>
  <c r="P107" i="1" s="1"/>
  <c r="I107" i="1"/>
  <c r="R107" i="1" s="1"/>
  <c r="Q106" i="1"/>
  <c r="O106" i="1"/>
  <c r="N106" i="1"/>
  <c r="M106" i="1"/>
  <c r="L106" i="1"/>
  <c r="K106" i="1"/>
  <c r="T106" i="1" s="1"/>
  <c r="J106" i="1"/>
  <c r="P106" i="1" s="1"/>
  <c r="I106" i="1"/>
  <c r="R106" i="1" s="1"/>
  <c r="AH105" i="1"/>
  <c r="AB105" i="1"/>
  <c r="AB100" i="1" s="1"/>
  <c r="AB99" i="1" s="1"/>
  <c r="Y105" i="1"/>
  <c r="J105" i="1" s="1"/>
  <c r="S105" i="1" s="1"/>
  <c r="T105" i="1"/>
  <c r="Q105" i="1"/>
  <c r="N105" i="1"/>
  <c r="M105" i="1"/>
  <c r="L105" i="1"/>
  <c r="K105" i="1"/>
  <c r="I105" i="1"/>
  <c r="O105" i="1" s="1"/>
  <c r="F105" i="1"/>
  <c r="Q104" i="1"/>
  <c r="O104" i="1"/>
  <c r="N104" i="1"/>
  <c r="M104" i="1"/>
  <c r="L104" i="1"/>
  <c r="K104" i="1"/>
  <c r="T104" i="1" s="1"/>
  <c r="J104" i="1"/>
  <c r="S104" i="1" s="1"/>
  <c r="I104" i="1"/>
  <c r="R104" i="1" s="1"/>
  <c r="F104" i="1"/>
  <c r="P104" i="1" s="1"/>
  <c r="R103" i="1"/>
  <c r="P103" i="1"/>
  <c r="O103" i="1"/>
  <c r="N103" i="1"/>
  <c r="M103" i="1"/>
  <c r="L103" i="1"/>
  <c r="K103" i="1"/>
  <c r="Q103" i="1" s="1"/>
  <c r="J103" i="1"/>
  <c r="S103" i="1" s="1"/>
  <c r="I103" i="1"/>
  <c r="R102" i="1"/>
  <c r="O102" i="1"/>
  <c r="N102" i="1"/>
  <c r="M102" i="1"/>
  <c r="L102" i="1"/>
  <c r="K102" i="1"/>
  <c r="Q102" i="1" s="1"/>
  <c r="J102" i="1"/>
  <c r="S102" i="1" s="1"/>
  <c r="I102" i="1"/>
  <c r="R101" i="1"/>
  <c r="O101" i="1"/>
  <c r="N101" i="1"/>
  <c r="M101" i="1"/>
  <c r="L101" i="1"/>
  <c r="K101" i="1"/>
  <c r="Q101" i="1" s="1"/>
  <c r="J101" i="1"/>
  <c r="P101" i="1" s="1"/>
  <c r="I101" i="1"/>
  <c r="BG100" i="1"/>
  <c r="BF100" i="1"/>
  <c r="BF99" i="1" s="1"/>
  <c r="BE100" i="1"/>
  <c r="BD100" i="1"/>
  <c r="BC100" i="1"/>
  <c r="BC99" i="1" s="1"/>
  <c r="BB100" i="1"/>
  <c r="BB99" i="1" s="1"/>
  <c r="BA100" i="1"/>
  <c r="AZ100" i="1"/>
  <c r="AY100" i="1"/>
  <c r="AX100" i="1"/>
  <c r="AX99" i="1" s="1"/>
  <c r="AW100" i="1"/>
  <c r="AW99" i="1" s="1"/>
  <c r="AV100" i="1"/>
  <c r="AU100" i="1"/>
  <c r="AT100" i="1"/>
  <c r="AT99" i="1" s="1"/>
  <c r="AS100" i="1"/>
  <c r="AS99" i="1" s="1"/>
  <c r="AR100" i="1"/>
  <c r="AQ100" i="1"/>
  <c r="AP100" i="1"/>
  <c r="AP99" i="1" s="1"/>
  <c r="AO100" i="1"/>
  <c r="AO99" i="1" s="1"/>
  <c r="AN100" i="1"/>
  <c r="AM100" i="1"/>
  <c r="AM99" i="1" s="1"/>
  <c r="AL100" i="1"/>
  <c r="AL99" i="1" s="1"/>
  <c r="AK100" i="1"/>
  <c r="AJ100" i="1"/>
  <c r="AI100" i="1"/>
  <c r="AH100" i="1"/>
  <c r="AH99" i="1" s="1"/>
  <c r="AG100" i="1"/>
  <c r="AG99" i="1" s="1"/>
  <c r="AF100" i="1"/>
  <c r="AE100" i="1"/>
  <c r="AD100" i="1"/>
  <c r="AD99" i="1" s="1"/>
  <c r="AC100" i="1"/>
  <c r="AC99" i="1" s="1"/>
  <c r="AA100" i="1"/>
  <c r="Z100" i="1"/>
  <c r="Z99" i="1" s="1"/>
  <c r="X100" i="1"/>
  <c r="W100" i="1"/>
  <c r="W99" i="1" s="1"/>
  <c r="V100" i="1"/>
  <c r="V99" i="1" s="1"/>
  <c r="U100" i="1"/>
  <c r="N100" i="1"/>
  <c r="K100" i="1"/>
  <c r="T100" i="1" s="1"/>
  <c r="I100" i="1"/>
  <c r="R100" i="1" s="1"/>
  <c r="H100" i="1"/>
  <c r="F100" i="1"/>
  <c r="F99" i="1" s="1"/>
  <c r="F76" i="1" s="1"/>
  <c r="E100" i="1"/>
  <c r="E99" i="1" s="1"/>
  <c r="BG99" i="1"/>
  <c r="BD99" i="1"/>
  <c r="BA99" i="1"/>
  <c r="AZ99" i="1"/>
  <c r="AY99" i="1"/>
  <c r="AV99" i="1"/>
  <c r="AU99" i="1"/>
  <c r="AR99" i="1"/>
  <c r="AQ99" i="1"/>
  <c r="AN99" i="1"/>
  <c r="AK99" i="1"/>
  <c r="AJ99" i="1"/>
  <c r="AI99" i="1"/>
  <c r="AF99" i="1"/>
  <c r="AE99" i="1"/>
  <c r="AA99" i="1"/>
  <c r="X99" i="1"/>
  <c r="U99" i="1"/>
  <c r="H99" i="1"/>
  <c r="R98" i="1"/>
  <c r="O98" i="1"/>
  <c r="N98" i="1"/>
  <c r="M98" i="1"/>
  <c r="L98" i="1"/>
  <c r="K98" i="1"/>
  <c r="Q98" i="1" s="1"/>
  <c r="Q94" i="1" s="1"/>
  <c r="J98" i="1"/>
  <c r="S98" i="1" s="1"/>
  <c r="I98" i="1"/>
  <c r="R96" i="1"/>
  <c r="O96" i="1"/>
  <c r="N96" i="1"/>
  <c r="M96" i="1"/>
  <c r="L96" i="1"/>
  <c r="K96" i="1"/>
  <c r="Q96" i="1" s="1"/>
  <c r="J96" i="1"/>
  <c r="P96" i="1" s="1"/>
  <c r="I96" i="1"/>
  <c r="R95" i="1"/>
  <c r="P95" i="1"/>
  <c r="O95" i="1"/>
  <c r="O94" i="1" s="1"/>
  <c r="N95" i="1"/>
  <c r="M95" i="1"/>
  <c r="L95" i="1"/>
  <c r="K95" i="1"/>
  <c r="Q95" i="1" s="1"/>
  <c r="J95" i="1"/>
  <c r="S95" i="1" s="1"/>
  <c r="I95" i="1"/>
  <c r="BG94" i="1"/>
  <c r="BF94" i="1"/>
  <c r="M94" i="1" s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N94" i="1"/>
  <c r="I94" i="1"/>
  <c r="R94" i="1" s="1"/>
  <c r="H94" i="1"/>
  <c r="F94" i="1"/>
  <c r="E94" i="1"/>
  <c r="T93" i="1"/>
  <c r="R93" i="1"/>
  <c r="P93" i="1"/>
  <c r="O93" i="1"/>
  <c r="N93" i="1"/>
  <c r="M93" i="1"/>
  <c r="L93" i="1"/>
  <c r="K93" i="1"/>
  <c r="Q93" i="1" s="1"/>
  <c r="J93" i="1"/>
  <c r="S93" i="1" s="1"/>
  <c r="I93" i="1"/>
  <c r="T92" i="1"/>
  <c r="R92" i="1"/>
  <c r="P92" i="1"/>
  <c r="O92" i="1"/>
  <c r="N92" i="1"/>
  <c r="M92" i="1"/>
  <c r="L92" i="1"/>
  <c r="K92" i="1"/>
  <c r="Q92" i="1" s="1"/>
  <c r="J92" i="1"/>
  <c r="S92" i="1" s="1"/>
  <c r="I92" i="1"/>
  <c r="T91" i="1"/>
  <c r="R91" i="1"/>
  <c r="P91" i="1"/>
  <c r="O91" i="1"/>
  <c r="N91" i="1"/>
  <c r="M91" i="1"/>
  <c r="L91" i="1"/>
  <c r="K91" i="1"/>
  <c r="Q91" i="1" s="1"/>
  <c r="J91" i="1"/>
  <c r="S91" i="1" s="1"/>
  <c r="I91" i="1"/>
  <c r="T90" i="1"/>
  <c r="R90" i="1"/>
  <c r="P90" i="1"/>
  <c r="O90" i="1"/>
  <c r="N90" i="1"/>
  <c r="M90" i="1"/>
  <c r="L90" i="1"/>
  <c r="K90" i="1"/>
  <c r="Q90" i="1" s="1"/>
  <c r="J90" i="1"/>
  <c r="S90" i="1" s="1"/>
  <c r="I90" i="1"/>
  <c r="T89" i="1"/>
  <c r="R89" i="1"/>
  <c r="O89" i="1"/>
  <c r="N89" i="1"/>
  <c r="M89" i="1"/>
  <c r="L89" i="1"/>
  <c r="K89" i="1"/>
  <c r="Q89" i="1" s="1"/>
  <c r="J89" i="1"/>
  <c r="S89" i="1" s="1"/>
  <c r="I89" i="1"/>
  <c r="T88" i="1"/>
  <c r="R88" i="1"/>
  <c r="O88" i="1"/>
  <c r="N88" i="1"/>
  <c r="M88" i="1"/>
  <c r="L88" i="1"/>
  <c r="K88" i="1"/>
  <c r="Q88" i="1" s="1"/>
  <c r="J88" i="1"/>
  <c r="S88" i="1" s="1"/>
  <c r="I88" i="1"/>
  <c r="T87" i="1"/>
  <c r="R87" i="1"/>
  <c r="O87" i="1"/>
  <c r="N87" i="1"/>
  <c r="M87" i="1"/>
  <c r="L87" i="1"/>
  <c r="K87" i="1"/>
  <c r="Q87" i="1" s="1"/>
  <c r="J87" i="1"/>
  <c r="S87" i="1" s="1"/>
  <c r="I87" i="1"/>
  <c r="T86" i="1"/>
  <c r="R86" i="1"/>
  <c r="O86" i="1"/>
  <c r="N86" i="1"/>
  <c r="M86" i="1"/>
  <c r="L86" i="1"/>
  <c r="K86" i="1"/>
  <c r="Q86" i="1" s="1"/>
  <c r="J86" i="1"/>
  <c r="S86" i="1" s="1"/>
  <c r="I86" i="1"/>
  <c r="T85" i="1"/>
  <c r="R85" i="1"/>
  <c r="O85" i="1"/>
  <c r="N85" i="1"/>
  <c r="M85" i="1"/>
  <c r="L85" i="1"/>
  <c r="K85" i="1"/>
  <c r="Q85" i="1" s="1"/>
  <c r="J85" i="1"/>
  <c r="S85" i="1" s="1"/>
  <c r="I85" i="1"/>
  <c r="T84" i="1"/>
  <c r="R84" i="1"/>
  <c r="O84" i="1"/>
  <c r="N84" i="1"/>
  <c r="M84" i="1"/>
  <c r="L84" i="1"/>
  <c r="K84" i="1"/>
  <c r="Q84" i="1" s="1"/>
  <c r="J84" i="1"/>
  <c r="S84" i="1" s="1"/>
  <c r="I84" i="1"/>
  <c r="T82" i="1"/>
  <c r="R82" i="1"/>
  <c r="O82" i="1"/>
  <c r="N82" i="1"/>
  <c r="M82" i="1"/>
  <c r="L82" i="1"/>
  <c r="K82" i="1"/>
  <c r="Q82" i="1" s="1"/>
  <c r="J82" i="1"/>
  <c r="S82" i="1" s="1"/>
  <c r="I82" i="1"/>
  <c r="T81" i="1"/>
  <c r="R81" i="1"/>
  <c r="O81" i="1"/>
  <c r="N81" i="1"/>
  <c r="M81" i="1"/>
  <c r="L81" i="1"/>
  <c r="K81" i="1"/>
  <c r="Q81" i="1" s="1"/>
  <c r="J81" i="1"/>
  <c r="S81" i="1" s="1"/>
  <c r="I81" i="1"/>
  <c r="T80" i="1"/>
  <c r="R80" i="1"/>
  <c r="O80" i="1"/>
  <c r="N80" i="1"/>
  <c r="M80" i="1"/>
  <c r="L80" i="1"/>
  <c r="K80" i="1"/>
  <c r="Q80" i="1" s="1"/>
  <c r="J80" i="1"/>
  <c r="S80" i="1" s="1"/>
  <c r="I80" i="1"/>
  <c r="T79" i="1"/>
  <c r="R79" i="1"/>
  <c r="O79" i="1"/>
  <c r="N79" i="1"/>
  <c r="M79" i="1"/>
  <c r="L79" i="1"/>
  <c r="K79" i="1"/>
  <c r="Q79" i="1" s="1"/>
  <c r="J79" i="1"/>
  <c r="S79" i="1" s="1"/>
  <c r="I79" i="1"/>
  <c r="T78" i="1"/>
  <c r="R78" i="1"/>
  <c r="O78" i="1"/>
  <c r="N78" i="1"/>
  <c r="M78" i="1"/>
  <c r="L78" i="1"/>
  <c r="K78" i="1"/>
  <c r="Q78" i="1" s="1"/>
  <c r="J78" i="1"/>
  <c r="S78" i="1" s="1"/>
  <c r="I78" i="1"/>
  <c r="BG77" i="1"/>
  <c r="N77" i="1" s="1"/>
  <c r="BF77" i="1"/>
  <c r="BE77" i="1"/>
  <c r="BD77" i="1"/>
  <c r="BC77" i="1"/>
  <c r="BB77" i="1"/>
  <c r="BA77" i="1"/>
  <c r="BA76" i="1" s="1"/>
  <c r="AZ77" i="1"/>
  <c r="AY77" i="1"/>
  <c r="AY76" i="1" s="1"/>
  <c r="AX77" i="1"/>
  <c r="AW77" i="1"/>
  <c r="AW76" i="1" s="1"/>
  <c r="AV77" i="1"/>
  <c r="AU77" i="1"/>
  <c r="AU76" i="1" s="1"/>
  <c r="AT77" i="1"/>
  <c r="AS77" i="1"/>
  <c r="AS76" i="1" s="1"/>
  <c r="AR77" i="1"/>
  <c r="AQ77" i="1"/>
  <c r="AQ76" i="1" s="1"/>
  <c r="AP77" i="1"/>
  <c r="AO77" i="1"/>
  <c r="AO76" i="1" s="1"/>
  <c r="AN77" i="1"/>
  <c r="AM77" i="1"/>
  <c r="AM76" i="1" s="1"/>
  <c r="AL77" i="1"/>
  <c r="AK77" i="1"/>
  <c r="AK76" i="1" s="1"/>
  <c r="AJ77" i="1"/>
  <c r="AI77" i="1"/>
  <c r="AI76" i="1" s="1"/>
  <c r="AH77" i="1"/>
  <c r="AG77" i="1"/>
  <c r="AG76" i="1" s="1"/>
  <c r="AF77" i="1"/>
  <c r="AE77" i="1"/>
  <c r="AE76" i="1" s="1"/>
  <c r="AD77" i="1"/>
  <c r="AC77" i="1"/>
  <c r="AC76" i="1" s="1"/>
  <c r="AB77" i="1"/>
  <c r="AA77" i="1"/>
  <c r="AA76" i="1" s="1"/>
  <c r="Z77" i="1"/>
  <c r="Y77" i="1"/>
  <c r="X77" i="1"/>
  <c r="W77" i="1"/>
  <c r="W76" i="1" s="1"/>
  <c r="V77" i="1"/>
  <c r="U77" i="1"/>
  <c r="U76" i="1" s="1"/>
  <c r="O77" i="1"/>
  <c r="M77" i="1"/>
  <c r="K77" i="1"/>
  <c r="T77" i="1" s="1"/>
  <c r="I77" i="1"/>
  <c r="R77" i="1" s="1"/>
  <c r="H77" i="1"/>
  <c r="G77" i="1"/>
  <c r="G76" i="1" s="1"/>
  <c r="F77" i="1"/>
  <c r="E77" i="1"/>
  <c r="E76" i="1" s="1"/>
  <c r="BF76" i="1"/>
  <c r="BD76" i="1"/>
  <c r="BB76" i="1"/>
  <c r="AZ76" i="1"/>
  <c r="AX76" i="1"/>
  <c r="AV76" i="1"/>
  <c r="AT76" i="1"/>
  <c r="AR76" i="1"/>
  <c r="AP76" i="1"/>
  <c r="AN76" i="1"/>
  <c r="AL76" i="1"/>
  <c r="AJ76" i="1"/>
  <c r="AH76" i="1"/>
  <c r="AF76" i="1"/>
  <c r="AD76" i="1"/>
  <c r="Z76" i="1"/>
  <c r="X76" i="1"/>
  <c r="V76" i="1"/>
  <c r="H76" i="1"/>
  <c r="T75" i="1"/>
  <c r="R75" i="1"/>
  <c r="Q75" i="1"/>
  <c r="P75" i="1"/>
  <c r="N75" i="1"/>
  <c r="M75" i="1"/>
  <c r="L75" i="1"/>
  <c r="K75" i="1"/>
  <c r="J75" i="1"/>
  <c r="S75" i="1" s="1"/>
  <c r="I75" i="1"/>
  <c r="O75" i="1" s="1"/>
  <c r="T74" i="1"/>
  <c r="R74" i="1"/>
  <c r="Q74" i="1"/>
  <c r="P74" i="1"/>
  <c r="N74" i="1"/>
  <c r="M74" i="1"/>
  <c r="L74" i="1"/>
  <c r="K74" i="1"/>
  <c r="J74" i="1"/>
  <c r="S74" i="1" s="1"/>
  <c r="I74" i="1"/>
  <c r="O74" i="1" s="1"/>
  <c r="AB71" i="1"/>
  <c r="J71" i="1" s="1"/>
  <c r="Q71" i="1"/>
  <c r="N71" i="1"/>
  <c r="M71" i="1"/>
  <c r="L71" i="1"/>
  <c r="K71" i="1"/>
  <c r="T71" i="1" s="1"/>
  <c r="I71" i="1"/>
  <c r="R71" i="1" s="1"/>
  <c r="F71" i="1"/>
  <c r="BG69" i="1"/>
  <c r="N69" i="1" s="1"/>
  <c r="BF69" i="1"/>
  <c r="BE69" i="1"/>
  <c r="L69" i="1" s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A69" i="1"/>
  <c r="Z69" i="1"/>
  <c r="Y69" i="1"/>
  <c r="X69" i="1"/>
  <c r="W69" i="1"/>
  <c r="V69" i="1"/>
  <c r="U69" i="1"/>
  <c r="Q69" i="1"/>
  <c r="K69" i="1"/>
  <c r="T69" i="1" s="1"/>
  <c r="I69" i="1"/>
  <c r="R69" i="1" s="1"/>
  <c r="H69" i="1"/>
  <c r="F69" i="1"/>
  <c r="E69" i="1"/>
  <c r="T68" i="1"/>
  <c r="Q68" i="1"/>
  <c r="P68" i="1"/>
  <c r="N68" i="1"/>
  <c r="M68" i="1"/>
  <c r="L68" i="1"/>
  <c r="K68" i="1"/>
  <c r="J68" i="1"/>
  <c r="I68" i="1"/>
  <c r="O68" i="1" s="1"/>
  <c r="AK67" i="1"/>
  <c r="AK64" i="1" s="1"/>
  <c r="AK46" i="1" s="1"/>
  <c r="AK3" i="1" s="1"/>
  <c r="AJ67" i="1"/>
  <c r="AE67" i="1"/>
  <c r="AE64" i="1" s="1"/>
  <c r="AB67" i="1"/>
  <c r="Y67" i="1"/>
  <c r="J67" i="1" s="1"/>
  <c r="Q67" i="1"/>
  <c r="N67" i="1"/>
  <c r="M67" i="1"/>
  <c r="L67" i="1"/>
  <c r="K67" i="1"/>
  <c r="T67" i="1" s="1"/>
  <c r="I67" i="1"/>
  <c r="R67" i="1" s="1"/>
  <c r="F67" i="1"/>
  <c r="E67" i="1"/>
  <c r="O67" i="1" s="1"/>
  <c r="S66" i="1"/>
  <c r="P66" i="1"/>
  <c r="O66" i="1"/>
  <c r="N66" i="1"/>
  <c r="M66" i="1"/>
  <c r="L66" i="1"/>
  <c r="K66" i="1"/>
  <c r="T66" i="1" s="1"/>
  <c r="J66" i="1"/>
  <c r="I66" i="1"/>
  <c r="R66" i="1" s="1"/>
  <c r="S65" i="1"/>
  <c r="P65" i="1"/>
  <c r="O65" i="1"/>
  <c r="O64" i="1" s="1"/>
  <c r="N65" i="1"/>
  <c r="M65" i="1"/>
  <c r="L65" i="1"/>
  <c r="K65" i="1"/>
  <c r="T65" i="1" s="1"/>
  <c r="J65" i="1"/>
  <c r="I65" i="1"/>
  <c r="R65" i="1" s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J64" i="1"/>
  <c r="AI64" i="1"/>
  <c r="AH64" i="1"/>
  <c r="AG64" i="1"/>
  <c r="AF64" i="1"/>
  <c r="AD64" i="1"/>
  <c r="L64" i="1" s="1"/>
  <c r="AC64" i="1"/>
  <c r="AB64" i="1"/>
  <c r="AA64" i="1"/>
  <c r="Z64" i="1"/>
  <c r="X64" i="1"/>
  <c r="W64" i="1"/>
  <c r="V64" i="1"/>
  <c r="U64" i="1"/>
  <c r="N64" i="1"/>
  <c r="H64" i="1"/>
  <c r="F64" i="1"/>
  <c r="E64" i="1"/>
  <c r="S63" i="1"/>
  <c r="Q63" i="1"/>
  <c r="N63" i="1"/>
  <c r="M63" i="1"/>
  <c r="L63" i="1"/>
  <c r="K63" i="1"/>
  <c r="T63" i="1" s="1"/>
  <c r="J63" i="1"/>
  <c r="P63" i="1" s="1"/>
  <c r="I63" i="1"/>
  <c r="R63" i="1" s="1"/>
  <c r="S62" i="1"/>
  <c r="Q62" i="1"/>
  <c r="N62" i="1"/>
  <c r="M62" i="1"/>
  <c r="L62" i="1"/>
  <c r="K62" i="1"/>
  <c r="T62" i="1" s="1"/>
  <c r="J62" i="1"/>
  <c r="P62" i="1" s="1"/>
  <c r="I62" i="1"/>
  <c r="R62" i="1" s="1"/>
  <c r="S61" i="1"/>
  <c r="Q61" i="1"/>
  <c r="Q60" i="1" s="1"/>
  <c r="N61" i="1"/>
  <c r="M61" i="1"/>
  <c r="L61" i="1"/>
  <c r="K61" i="1"/>
  <c r="T61" i="1" s="1"/>
  <c r="J61" i="1"/>
  <c r="P61" i="1" s="1"/>
  <c r="P60" i="1" s="1"/>
  <c r="I61" i="1"/>
  <c r="R61" i="1" s="1"/>
  <c r="BG60" i="1"/>
  <c r="BF60" i="1"/>
  <c r="M60" i="1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N60" i="1" s="1"/>
  <c r="AE60" i="1"/>
  <c r="AD60" i="1"/>
  <c r="AC60" i="1"/>
  <c r="AB60" i="1"/>
  <c r="AA60" i="1"/>
  <c r="Z60" i="1"/>
  <c r="Y60" i="1"/>
  <c r="X60" i="1"/>
  <c r="W60" i="1"/>
  <c r="V60" i="1"/>
  <c r="U60" i="1"/>
  <c r="L60" i="1"/>
  <c r="J60" i="1"/>
  <c r="S60" i="1" s="1"/>
  <c r="H60" i="1"/>
  <c r="F60" i="1"/>
  <c r="E60" i="1"/>
  <c r="S59" i="1"/>
  <c r="P59" i="1"/>
  <c r="O59" i="1"/>
  <c r="N59" i="1"/>
  <c r="M59" i="1"/>
  <c r="L59" i="1"/>
  <c r="K59" i="1"/>
  <c r="T59" i="1" s="1"/>
  <c r="J59" i="1"/>
  <c r="I59" i="1"/>
  <c r="R59" i="1" s="1"/>
  <c r="S58" i="1"/>
  <c r="P58" i="1"/>
  <c r="O58" i="1"/>
  <c r="O57" i="1" s="1"/>
  <c r="N58" i="1"/>
  <c r="M58" i="1"/>
  <c r="L58" i="1"/>
  <c r="K58" i="1"/>
  <c r="T58" i="1" s="1"/>
  <c r="J58" i="1"/>
  <c r="I58" i="1"/>
  <c r="R58" i="1" s="1"/>
  <c r="BG57" i="1"/>
  <c r="BF57" i="1"/>
  <c r="BF46" i="1" s="1"/>
  <c r="BE57" i="1"/>
  <c r="BD57" i="1"/>
  <c r="BC57" i="1"/>
  <c r="BB57" i="1"/>
  <c r="BB46" i="1" s="1"/>
  <c r="BA57" i="1"/>
  <c r="AZ57" i="1"/>
  <c r="AY57" i="1"/>
  <c r="AX57" i="1"/>
  <c r="AX46" i="1" s="1"/>
  <c r="AW57" i="1"/>
  <c r="AV57" i="1"/>
  <c r="AU57" i="1"/>
  <c r="AT57" i="1"/>
  <c r="AT46" i="1" s="1"/>
  <c r="AS57" i="1"/>
  <c r="AR57" i="1"/>
  <c r="AQ57" i="1"/>
  <c r="AP57" i="1"/>
  <c r="AP46" i="1" s="1"/>
  <c r="AO57" i="1"/>
  <c r="AN57" i="1"/>
  <c r="AM57" i="1"/>
  <c r="AL57" i="1"/>
  <c r="AL46" i="1" s="1"/>
  <c r="AK57" i="1"/>
  <c r="AJ57" i="1"/>
  <c r="AI57" i="1"/>
  <c r="AH57" i="1"/>
  <c r="AH46" i="1" s="1"/>
  <c r="AG57" i="1"/>
  <c r="AF57" i="1"/>
  <c r="AE57" i="1"/>
  <c r="AD57" i="1"/>
  <c r="AD46" i="1" s="1"/>
  <c r="AC57" i="1"/>
  <c r="AB57" i="1"/>
  <c r="AA57" i="1"/>
  <c r="Z57" i="1"/>
  <c r="Z46" i="1" s="1"/>
  <c r="Y57" i="1"/>
  <c r="X57" i="1"/>
  <c r="W57" i="1"/>
  <c r="V57" i="1"/>
  <c r="V46" i="1" s="1"/>
  <c r="U57" i="1"/>
  <c r="P57" i="1"/>
  <c r="N57" i="1"/>
  <c r="J57" i="1"/>
  <c r="S57" i="1" s="1"/>
  <c r="H57" i="1"/>
  <c r="F57" i="1"/>
  <c r="E57" i="1"/>
  <c r="S56" i="1"/>
  <c r="Q56" i="1"/>
  <c r="N56" i="1"/>
  <c r="M56" i="1"/>
  <c r="L56" i="1"/>
  <c r="K56" i="1"/>
  <c r="T56" i="1" s="1"/>
  <c r="J56" i="1"/>
  <c r="P56" i="1" s="1"/>
  <c r="I56" i="1"/>
  <c r="R56" i="1" s="1"/>
  <c r="S55" i="1"/>
  <c r="Q55" i="1"/>
  <c r="N55" i="1"/>
  <c r="M55" i="1"/>
  <c r="L55" i="1"/>
  <c r="K55" i="1"/>
  <c r="T55" i="1" s="1"/>
  <c r="J55" i="1"/>
  <c r="P55" i="1" s="1"/>
  <c r="I55" i="1"/>
  <c r="R55" i="1" s="1"/>
  <c r="S54" i="1"/>
  <c r="Q54" i="1"/>
  <c r="N54" i="1"/>
  <c r="M54" i="1"/>
  <c r="L54" i="1"/>
  <c r="K54" i="1"/>
  <c r="T54" i="1" s="1"/>
  <c r="J54" i="1"/>
  <c r="P54" i="1" s="1"/>
  <c r="I54" i="1"/>
  <c r="R54" i="1" s="1"/>
  <c r="S53" i="1"/>
  <c r="Q53" i="1"/>
  <c r="N53" i="1"/>
  <c r="M53" i="1"/>
  <c r="L53" i="1"/>
  <c r="K53" i="1"/>
  <c r="T53" i="1" s="1"/>
  <c r="J53" i="1"/>
  <c r="P53" i="1" s="1"/>
  <c r="I53" i="1"/>
  <c r="R53" i="1" s="1"/>
  <c r="AB52" i="1"/>
  <c r="T52" i="1"/>
  <c r="R52" i="1"/>
  <c r="O52" i="1"/>
  <c r="N52" i="1"/>
  <c r="M52" i="1"/>
  <c r="L52" i="1"/>
  <c r="K52" i="1"/>
  <c r="Q52" i="1" s="1"/>
  <c r="J52" i="1"/>
  <c r="S52" i="1" s="1"/>
  <c r="I52" i="1"/>
  <c r="T51" i="1"/>
  <c r="R51" i="1"/>
  <c r="O51" i="1"/>
  <c r="N51" i="1"/>
  <c r="M51" i="1"/>
  <c r="L51" i="1"/>
  <c r="K51" i="1"/>
  <c r="Q51" i="1" s="1"/>
  <c r="J51" i="1"/>
  <c r="S51" i="1" s="1"/>
  <c r="I51" i="1"/>
  <c r="AG50" i="1"/>
  <c r="I50" i="1" s="1"/>
  <c r="AA50" i="1"/>
  <c r="T50" i="1"/>
  <c r="Q50" i="1"/>
  <c r="P50" i="1"/>
  <c r="N50" i="1"/>
  <c r="M50" i="1"/>
  <c r="L50" i="1"/>
  <c r="K50" i="1"/>
  <c r="J50" i="1"/>
  <c r="S50" i="1" s="1"/>
  <c r="E50" i="1"/>
  <c r="O50" i="1" s="1"/>
  <c r="AG49" i="1"/>
  <c r="AA49" i="1"/>
  <c r="L49" i="1" s="1"/>
  <c r="S49" i="1"/>
  <c r="P49" i="1"/>
  <c r="O49" i="1"/>
  <c r="N49" i="1"/>
  <c r="M49" i="1"/>
  <c r="K49" i="1"/>
  <c r="T49" i="1" s="1"/>
  <c r="J49" i="1"/>
  <c r="I49" i="1"/>
  <c r="R49" i="1" s="1"/>
  <c r="E49" i="1"/>
  <c r="AN48" i="1"/>
  <c r="AN47" i="1" s="1"/>
  <c r="AN46" i="1" s="1"/>
  <c r="AJ48" i="1"/>
  <c r="T48" i="1"/>
  <c r="R48" i="1"/>
  <c r="N48" i="1"/>
  <c r="L48" i="1"/>
  <c r="K48" i="1"/>
  <c r="Q48" i="1" s="1"/>
  <c r="J48" i="1"/>
  <c r="S48" i="1" s="1"/>
  <c r="I48" i="1"/>
  <c r="F48" i="1"/>
  <c r="P48" i="1" s="1"/>
  <c r="E48" i="1"/>
  <c r="O48" i="1" s="1"/>
  <c r="BG47" i="1"/>
  <c r="N47" i="1" s="1"/>
  <c r="BF47" i="1"/>
  <c r="BE47" i="1"/>
  <c r="L47" i="1" s="1"/>
  <c r="BD47" i="1"/>
  <c r="BD46" i="1" s="1"/>
  <c r="BC47" i="1"/>
  <c r="BC46" i="1" s="1"/>
  <c r="BB47" i="1"/>
  <c r="BA47" i="1"/>
  <c r="AZ47" i="1"/>
  <c r="AZ46" i="1" s="1"/>
  <c r="AY47" i="1"/>
  <c r="AY46" i="1" s="1"/>
  <c r="AX47" i="1"/>
  <c r="AW47" i="1"/>
  <c r="AV47" i="1"/>
  <c r="AV46" i="1" s="1"/>
  <c r="AU47" i="1"/>
  <c r="AU46" i="1" s="1"/>
  <c r="AT47" i="1"/>
  <c r="AS47" i="1"/>
  <c r="AR47" i="1"/>
  <c r="AR46" i="1" s="1"/>
  <c r="AQ47" i="1"/>
  <c r="AQ46" i="1" s="1"/>
  <c r="AP47" i="1"/>
  <c r="AO47" i="1"/>
  <c r="AM47" i="1"/>
  <c r="AM46" i="1" s="1"/>
  <c r="AL47" i="1"/>
  <c r="AK47" i="1"/>
  <c r="AJ47" i="1"/>
  <c r="AJ46" i="1" s="1"/>
  <c r="AI47" i="1"/>
  <c r="AI46" i="1" s="1"/>
  <c r="AH47" i="1"/>
  <c r="AG47" i="1"/>
  <c r="AF47" i="1"/>
  <c r="AF46" i="1" s="1"/>
  <c r="AE47" i="1"/>
  <c r="AD47" i="1"/>
  <c r="AC47" i="1"/>
  <c r="AB47" i="1"/>
  <c r="AA47" i="1"/>
  <c r="AA46" i="1" s="1"/>
  <c r="Z47" i="1"/>
  <c r="Y47" i="1"/>
  <c r="X47" i="1"/>
  <c r="X46" i="1" s="1"/>
  <c r="W47" i="1"/>
  <c r="W46" i="1" s="1"/>
  <c r="V47" i="1"/>
  <c r="U47" i="1"/>
  <c r="K47" i="1"/>
  <c r="T47" i="1" s="1"/>
  <c r="H47" i="1"/>
  <c r="H46" i="1" s="1"/>
  <c r="F47" i="1"/>
  <c r="F46" i="1" s="1"/>
  <c r="BE46" i="1"/>
  <c r="BA46" i="1"/>
  <c r="AW46" i="1"/>
  <c r="AS46" i="1"/>
  <c r="AO46" i="1"/>
  <c r="AG46" i="1"/>
  <c r="AC46" i="1"/>
  <c r="U46" i="1"/>
  <c r="G46" i="1"/>
  <c r="S45" i="1"/>
  <c r="Q45" i="1"/>
  <c r="N45" i="1"/>
  <c r="M45" i="1"/>
  <c r="L45" i="1"/>
  <c r="K45" i="1"/>
  <c r="T45" i="1" s="1"/>
  <c r="J45" i="1"/>
  <c r="P45" i="1" s="1"/>
  <c r="I45" i="1"/>
  <c r="AJ44" i="1"/>
  <c r="AD44" i="1"/>
  <c r="I44" i="1" s="1"/>
  <c r="U44" i="1"/>
  <c r="T44" i="1"/>
  <c r="Q44" i="1"/>
  <c r="P44" i="1"/>
  <c r="N44" i="1"/>
  <c r="M44" i="1"/>
  <c r="L44" i="1"/>
  <c r="K44" i="1"/>
  <c r="J44" i="1"/>
  <c r="S44" i="1" s="1"/>
  <c r="E44" i="1"/>
  <c r="O44" i="1" s="1"/>
  <c r="S43" i="1"/>
  <c r="Q43" i="1"/>
  <c r="N43" i="1"/>
  <c r="M43" i="1"/>
  <c r="L43" i="1"/>
  <c r="K43" i="1"/>
  <c r="T43" i="1" s="1"/>
  <c r="J43" i="1"/>
  <c r="P43" i="1" s="1"/>
  <c r="I43" i="1"/>
  <c r="S42" i="1"/>
  <c r="Q42" i="1"/>
  <c r="N42" i="1"/>
  <c r="M42" i="1"/>
  <c r="L42" i="1"/>
  <c r="K42" i="1"/>
  <c r="T42" i="1" s="1"/>
  <c r="J42" i="1"/>
  <c r="P42" i="1" s="1"/>
  <c r="I42" i="1"/>
  <c r="S41" i="1"/>
  <c r="Q41" i="1"/>
  <c r="N41" i="1"/>
  <c r="M41" i="1"/>
  <c r="L41" i="1"/>
  <c r="K41" i="1"/>
  <c r="T41" i="1" s="1"/>
  <c r="J41" i="1"/>
  <c r="P41" i="1" s="1"/>
  <c r="I41" i="1"/>
  <c r="S40" i="1"/>
  <c r="Q40" i="1"/>
  <c r="N40" i="1"/>
  <c r="M40" i="1"/>
  <c r="L40" i="1"/>
  <c r="K40" i="1"/>
  <c r="T40" i="1" s="1"/>
  <c r="J40" i="1"/>
  <c r="P40" i="1" s="1"/>
  <c r="I40" i="1"/>
  <c r="S39" i="1"/>
  <c r="Q39" i="1"/>
  <c r="N39" i="1"/>
  <c r="M39" i="1"/>
  <c r="L39" i="1"/>
  <c r="K39" i="1"/>
  <c r="T39" i="1" s="1"/>
  <c r="J39" i="1"/>
  <c r="P39" i="1" s="1"/>
  <c r="I39" i="1"/>
  <c r="S38" i="1"/>
  <c r="Q38" i="1"/>
  <c r="N38" i="1"/>
  <c r="M38" i="1"/>
  <c r="L38" i="1"/>
  <c r="K38" i="1"/>
  <c r="T38" i="1" s="1"/>
  <c r="J38" i="1"/>
  <c r="P38" i="1" s="1"/>
  <c r="I38" i="1"/>
  <c r="S37" i="1"/>
  <c r="N37" i="1"/>
  <c r="M37" i="1"/>
  <c r="L37" i="1"/>
  <c r="K37" i="1"/>
  <c r="T37" i="1" s="1"/>
  <c r="J37" i="1"/>
  <c r="P37" i="1" s="1"/>
  <c r="I37" i="1"/>
  <c r="S36" i="1"/>
  <c r="Q36" i="1"/>
  <c r="O36" i="1"/>
  <c r="N36" i="1"/>
  <c r="M36" i="1"/>
  <c r="L36" i="1"/>
  <c r="K36" i="1"/>
  <c r="T36" i="1" s="1"/>
  <c r="J36" i="1"/>
  <c r="P36" i="1" s="1"/>
  <c r="I36" i="1"/>
  <c r="R36" i="1" s="1"/>
  <c r="AE35" i="1"/>
  <c r="AB35" i="1"/>
  <c r="J35" i="1" s="1"/>
  <c r="P35" i="1" s="1"/>
  <c r="S35" i="1"/>
  <c r="O35" i="1"/>
  <c r="N35" i="1"/>
  <c r="M35" i="1"/>
  <c r="L35" i="1"/>
  <c r="K35" i="1"/>
  <c r="T35" i="1" s="1"/>
  <c r="I35" i="1"/>
  <c r="R35" i="1" s="1"/>
  <c r="AH34" i="1"/>
  <c r="AE34" i="1"/>
  <c r="J34" i="1" s="1"/>
  <c r="P34" i="1" s="1"/>
  <c r="S34" i="1"/>
  <c r="O34" i="1"/>
  <c r="N34" i="1"/>
  <c r="M34" i="1"/>
  <c r="L34" i="1"/>
  <c r="K34" i="1"/>
  <c r="T34" i="1" s="1"/>
  <c r="I34" i="1"/>
  <c r="R34" i="1" s="1"/>
  <c r="S33" i="1"/>
  <c r="O33" i="1"/>
  <c r="N33" i="1"/>
  <c r="M33" i="1"/>
  <c r="L33" i="1"/>
  <c r="K33" i="1"/>
  <c r="T33" i="1" s="1"/>
  <c r="J33" i="1"/>
  <c r="P33" i="1" s="1"/>
  <c r="I33" i="1"/>
  <c r="R33" i="1" s="1"/>
  <c r="AM32" i="1"/>
  <c r="AJ32" i="1"/>
  <c r="L32" i="1" s="1"/>
  <c r="S32" i="1"/>
  <c r="N32" i="1"/>
  <c r="M32" i="1"/>
  <c r="K32" i="1"/>
  <c r="T32" i="1" s="1"/>
  <c r="J32" i="1"/>
  <c r="I32" i="1"/>
  <c r="R32" i="1" s="1"/>
  <c r="F32" i="1"/>
  <c r="P32" i="1" s="1"/>
  <c r="E32" i="1"/>
  <c r="O32" i="1" s="1"/>
  <c r="AB31" i="1"/>
  <c r="Y31" i="1"/>
  <c r="M31" i="1" s="1"/>
  <c r="V31" i="1"/>
  <c r="T31" i="1"/>
  <c r="R31" i="1"/>
  <c r="Q31" i="1"/>
  <c r="N31" i="1"/>
  <c r="L31" i="1"/>
  <c r="K31" i="1"/>
  <c r="I31" i="1"/>
  <c r="O31" i="1" s="1"/>
  <c r="F31" i="1"/>
  <c r="S30" i="1"/>
  <c r="N30" i="1"/>
  <c r="M30" i="1"/>
  <c r="L30" i="1"/>
  <c r="K30" i="1"/>
  <c r="T30" i="1" s="1"/>
  <c r="J30" i="1"/>
  <c r="P30" i="1" s="1"/>
  <c r="I30" i="1"/>
  <c r="R30" i="1" s="1"/>
  <c r="E30" i="1"/>
  <c r="T29" i="1"/>
  <c r="R29" i="1"/>
  <c r="P29" i="1"/>
  <c r="O29" i="1"/>
  <c r="N29" i="1"/>
  <c r="M29" i="1"/>
  <c r="L29" i="1"/>
  <c r="K29" i="1"/>
  <c r="Q29" i="1" s="1"/>
  <c r="J29" i="1"/>
  <c r="S29" i="1" s="1"/>
  <c r="I29" i="1"/>
  <c r="AJ28" i="1"/>
  <c r="I28" i="1" s="1"/>
  <c r="R28" i="1" s="1"/>
  <c r="X28" i="1"/>
  <c r="T28" i="1"/>
  <c r="Q28" i="1"/>
  <c r="N28" i="1"/>
  <c r="M28" i="1"/>
  <c r="L28" i="1"/>
  <c r="K28" i="1"/>
  <c r="J28" i="1"/>
  <c r="S28" i="1" s="1"/>
  <c r="F28" i="1"/>
  <c r="P28" i="1" s="1"/>
  <c r="E28" i="1"/>
  <c r="AG27" i="1"/>
  <c r="L27" i="1" s="1"/>
  <c r="S27" i="1"/>
  <c r="P27" i="1"/>
  <c r="N27" i="1"/>
  <c r="M27" i="1"/>
  <c r="K27" i="1"/>
  <c r="T27" i="1" s="1"/>
  <c r="J27" i="1"/>
  <c r="I27" i="1"/>
  <c r="R27" i="1" s="1"/>
  <c r="E27" i="1"/>
  <c r="T26" i="1"/>
  <c r="R26" i="1"/>
  <c r="Q26" i="1"/>
  <c r="N26" i="1"/>
  <c r="M26" i="1"/>
  <c r="L26" i="1"/>
  <c r="K26" i="1"/>
  <c r="J26" i="1"/>
  <c r="S26" i="1" s="1"/>
  <c r="I26" i="1"/>
  <c r="O26" i="1" s="1"/>
  <c r="F26" i="1"/>
  <c r="P26" i="1" s="1"/>
  <c r="Y25" i="1"/>
  <c r="R25" i="1"/>
  <c r="O25" i="1"/>
  <c r="N25" i="1"/>
  <c r="M25" i="1"/>
  <c r="L25" i="1"/>
  <c r="K25" i="1"/>
  <c r="Q25" i="1" s="1"/>
  <c r="J25" i="1"/>
  <c r="S25" i="1" s="1"/>
  <c r="I25" i="1"/>
  <c r="F25" i="1"/>
  <c r="P25" i="1" s="1"/>
  <c r="S24" i="1"/>
  <c r="P24" i="1"/>
  <c r="O24" i="1"/>
  <c r="N24" i="1"/>
  <c r="M24" i="1"/>
  <c r="L24" i="1"/>
  <c r="K24" i="1"/>
  <c r="Q24" i="1" s="1"/>
  <c r="J24" i="1"/>
  <c r="I24" i="1"/>
  <c r="R24" i="1" s="1"/>
  <c r="S23" i="1"/>
  <c r="P23" i="1"/>
  <c r="N23" i="1"/>
  <c r="M23" i="1"/>
  <c r="L23" i="1"/>
  <c r="K23" i="1"/>
  <c r="T23" i="1" s="1"/>
  <c r="J23" i="1"/>
  <c r="I23" i="1"/>
  <c r="R23" i="1" s="1"/>
  <c r="S22" i="1"/>
  <c r="Q22" i="1"/>
  <c r="P22" i="1"/>
  <c r="N22" i="1"/>
  <c r="M22" i="1"/>
  <c r="L22" i="1"/>
  <c r="K22" i="1"/>
  <c r="T22" i="1" s="1"/>
  <c r="J22" i="1"/>
  <c r="I22" i="1"/>
  <c r="R22" i="1" s="1"/>
  <c r="S21" i="1"/>
  <c r="Q21" i="1"/>
  <c r="N21" i="1"/>
  <c r="M21" i="1"/>
  <c r="L21" i="1"/>
  <c r="K21" i="1"/>
  <c r="T21" i="1" s="1"/>
  <c r="J21" i="1"/>
  <c r="P21" i="1" s="1"/>
  <c r="I21" i="1"/>
  <c r="R21" i="1" s="1"/>
  <c r="S20" i="1"/>
  <c r="Q20" i="1"/>
  <c r="N20" i="1"/>
  <c r="M20" i="1"/>
  <c r="L20" i="1"/>
  <c r="K20" i="1"/>
  <c r="T20" i="1" s="1"/>
  <c r="J20" i="1"/>
  <c r="P20" i="1" s="1"/>
  <c r="I20" i="1"/>
  <c r="R20" i="1" s="1"/>
  <c r="S19" i="1"/>
  <c r="Q19" i="1"/>
  <c r="N19" i="1"/>
  <c r="M19" i="1"/>
  <c r="L19" i="1"/>
  <c r="K19" i="1"/>
  <c r="T19" i="1" s="1"/>
  <c r="J19" i="1"/>
  <c r="P19" i="1" s="1"/>
  <c r="I19" i="1"/>
  <c r="R19" i="1" s="1"/>
  <c r="S18" i="1"/>
  <c r="Q18" i="1"/>
  <c r="N18" i="1"/>
  <c r="M18" i="1"/>
  <c r="L18" i="1"/>
  <c r="K18" i="1"/>
  <c r="T18" i="1" s="1"/>
  <c r="J18" i="1"/>
  <c r="P18" i="1" s="1"/>
  <c r="I18" i="1"/>
  <c r="R18" i="1" s="1"/>
  <c r="S17" i="1"/>
  <c r="Q17" i="1"/>
  <c r="N17" i="1"/>
  <c r="M17" i="1"/>
  <c r="L17" i="1"/>
  <c r="K17" i="1"/>
  <c r="T17" i="1" s="1"/>
  <c r="J17" i="1"/>
  <c r="P17" i="1" s="1"/>
  <c r="I17" i="1"/>
  <c r="R17" i="1" s="1"/>
  <c r="S16" i="1"/>
  <c r="Q16" i="1"/>
  <c r="N16" i="1"/>
  <c r="M16" i="1"/>
  <c r="L16" i="1"/>
  <c r="K16" i="1"/>
  <c r="T16" i="1" s="1"/>
  <c r="J16" i="1"/>
  <c r="P16" i="1" s="1"/>
  <c r="I16" i="1"/>
  <c r="R16" i="1" s="1"/>
  <c r="E16" i="1"/>
  <c r="AG15" i="1"/>
  <c r="I15" i="1" s="1"/>
  <c r="R15" i="1" s="1"/>
  <c r="V15" i="1"/>
  <c r="T15" i="1"/>
  <c r="Q15" i="1"/>
  <c r="P15" i="1"/>
  <c r="N15" i="1"/>
  <c r="M15" i="1"/>
  <c r="L15" i="1"/>
  <c r="K15" i="1"/>
  <c r="J15" i="1"/>
  <c r="S15" i="1" s="1"/>
  <c r="E15" i="1"/>
  <c r="S14" i="1"/>
  <c r="Q14" i="1"/>
  <c r="N14" i="1"/>
  <c r="M14" i="1"/>
  <c r="L14" i="1"/>
  <c r="K14" i="1"/>
  <c r="T14" i="1" s="1"/>
  <c r="J14" i="1"/>
  <c r="P14" i="1" s="1"/>
  <c r="I14" i="1"/>
  <c r="R14" i="1" s="1"/>
  <c r="AG13" i="1"/>
  <c r="T13" i="1"/>
  <c r="R13" i="1"/>
  <c r="N13" i="1"/>
  <c r="M13" i="1"/>
  <c r="L13" i="1"/>
  <c r="K13" i="1"/>
  <c r="Q13" i="1" s="1"/>
  <c r="J13" i="1"/>
  <c r="S13" i="1" s="1"/>
  <c r="I13" i="1"/>
  <c r="E13" i="1"/>
  <c r="O13" i="1" s="1"/>
  <c r="AJ12" i="1"/>
  <c r="AG12" i="1"/>
  <c r="I12" i="1" s="1"/>
  <c r="R12" i="1" s="1"/>
  <c r="V12" i="1"/>
  <c r="T12" i="1"/>
  <c r="N12" i="1"/>
  <c r="M12" i="1"/>
  <c r="K12" i="1"/>
  <c r="Q12" i="1" s="1"/>
  <c r="J12" i="1"/>
  <c r="S12" i="1" s="1"/>
  <c r="E12" i="1"/>
  <c r="S11" i="1"/>
  <c r="P11" i="1"/>
  <c r="O11" i="1"/>
  <c r="N11" i="1"/>
  <c r="M11" i="1"/>
  <c r="L11" i="1"/>
  <c r="K11" i="1"/>
  <c r="T11" i="1" s="1"/>
  <c r="J11" i="1"/>
  <c r="I11" i="1"/>
  <c r="R11" i="1" s="1"/>
  <c r="S10" i="1"/>
  <c r="O10" i="1"/>
  <c r="N10" i="1"/>
  <c r="M10" i="1"/>
  <c r="L10" i="1"/>
  <c r="K10" i="1"/>
  <c r="T10" i="1" s="1"/>
  <c r="J10" i="1"/>
  <c r="P10" i="1" s="1"/>
  <c r="I10" i="1"/>
  <c r="R10" i="1" s="1"/>
  <c r="AJ9" i="1"/>
  <c r="AG9" i="1"/>
  <c r="I9" i="1" s="1"/>
  <c r="R9" i="1" s="1"/>
  <c r="Y9" i="1"/>
  <c r="T9" i="1"/>
  <c r="N9" i="1"/>
  <c r="M9" i="1"/>
  <c r="K9" i="1"/>
  <c r="Q9" i="1" s="1"/>
  <c r="J9" i="1"/>
  <c r="S9" i="1" s="1"/>
  <c r="E9" i="1"/>
  <c r="O9" i="1" s="1"/>
  <c r="AK8" i="1"/>
  <c r="AB8" i="1"/>
  <c r="M8" i="1" s="1"/>
  <c r="Y8" i="1"/>
  <c r="T8" i="1"/>
  <c r="R8" i="1"/>
  <c r="N8" i="1"/>
  <c r="L8" i="1"/>
  <c r="K8" i="1"/>
  <c r="Q8" i="1" s="1"/>
  <c r="J8" i="1"/>
  <c r="S8" i="1" s="1"/>
  <c r="I8" i="1"/>
  <c r="O8" i="1" s="1"/>
  <c r="F8" i="1"/>
  <c r="P8" i="1" s="1"/>
  <c r="AJ7" i="1"/>
  <c r="AD7" i="1"/>
  <c r="I7" i="1" s="1"/>
  <c r="X7" i="1"/>
  <c r="T7" i="1"/>
  <c r="N7" i="1"/>
  <c r="M7" i="1"/>
  <c r="K7" i="1"/>
  <c r="Q7" i="1" s="1"/>
  <c r="J7" i="1"/>
  <c r="S7" i="1" s="1"/>
  <c r="E7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I6" i="1"/>
  <c r="AH6" i="1"/>
  <c r="AF6" i="1"/>
  <c r="AE6" i="1"/>
  <c r="AD6" i="1"/>
  <c r="AC6" i="1"/>
  <c r="AA6" i="1"/>
  <c r="Z6" i="1"/>
  <c r="X6" i="1"/>
  <c r="W6" i="1"/>
  <c r="V6" i="1"/>
  <c r="U6" i="1"/>
  <c r="N6" i="1"/>
  <c r="H6" i="1"/>
  <c r="G6" i="1"/>
  <c r="F6" i="1"/>
  <c r="AJ5" i="1"/>
  <c r="L5" i="1" s="1"/>
  <c r="S5" i="1"/>
  <c r="O5" i="1"/>
  <c r="O4" i="1" s="1"/>
  <c r="N5" i="1"/>
  <c r="M5" i="1"/>
  <c r="K5" i="1"/>
  <c r="T5" i="1" s="1"/>
  <c r="J5" i="1"/>
  <c r="P5" i="1" s="1"/>
  <c r="P4" i="1" s="1"/>
  <c r="I5" i="1"/>
  <c r="R5" i="1" s="1"/>
  <c r="BG4" i="1"/>
  <c r="BF4" i="1"/>
  <c r="M4" i="1" s="1"/>
  <c r="BE4" i="1"/>
  <c r="BD4" i="1"/>
  <c r="BC4" i="1"/>
  <c r="BB4" i="1"/>
  <c r="BB3" i="1" s="1"/>
  <c r="BA4" i="1"/>
  <c r="AZ4" i="1"/>
  <c r="AY4" i="1"/>
  <c r="AX4" i="1"/>
  <c r="AX3" i="1" s="1"/>
  <c r="AW4" i="1"/>
  <c r="AV4" i="1"/>
  <c r="AU4" i="1"/>
  <c r="AT4" i="1"/>
  <c r="AT3" i="1" s="1"/>
  <c r="AS4" i="1"/>
  <c r="AR4" i="1"/>
  <c r="AQ4" i="1"/>
  <c r="AP4" i="1"/>
  <c r="AP3" i="1" s="1"/>
  <c r="AO4" i="1"/>
  <c r="AN4" i="1"/>
  <c r="AM4" i="1"/>
  <c r="AL4" i="1"/>
  <c r="AL3" i="1" s="1"/>
  <c r="AK4" i="1"/>
  <c r="AJ4" i="1"/>
  <c r="AI4" i="1"/>
  <c r="AH4" i="1"/>
  <c r="AH3" i="1" s="1"/>
  <c r="AG4" i="1"/>
  <c r="AF4" i="1"/>
  <c r="AE4" i="1"/>
  <c r="AD4" i="1"/>
  <c r="L4" i="1" s="1"/>
  <c r="AC4" i="1"/>
  <c r="AB4" i="1"/>
  <c r="AA4" i="1"/>
  <c r="Z4" i="1"/>
  <c r="Z3" i="1" s="1"/>
  <c r="Y4" i="1"/>
  <c r="X4" i="1"/>
  <c r="W4" i="1"/>
  <c r="V4" i="1"/>
  <c r="V3" i="1" s="1"/>
  <c r="U4" i="1"/>
  <c r="N4" i="1"/>
  <c r="J4" i="1"/>
  <c r="S4" i="1" s="1"/>
  <c r="H4" i="1"/>
  <c r="F4" i="1"/>
  <c r="E4" i="1"/>
  <c r="BD3" i="1"/>
  <c r="BA3" i="1"/>
  <c r="AZ3" i="1"/>
  <c r="AY3" i="1"/>
  <c r="AW3" i="1"/>
  <c r="AV3" i="1"/>
  <c r="AU3" i="1"/>
  <c r="AS3" i="1"/>
  <c r="AR3" i="1"/>
  <c r="AQ3" i="1"/>
  <c r="AO3" i="1"/>
  <c r="AN3" i="1"/>
  <c r="AM3" i="1"/>
  <c r="AI3" i="1"/>
  <c r="AC3" i="1"/>
  <c r="AA3" i="1"/>
  <c r="X3" i="1"/>
  <c r="W3" i="1"/>
  <c r="U3" i="1"/>
  <c r="H3" i="1"/>
  <c r="G3" i="1"/>
  <c r="O15" i="1" l="1"/>
  <c r="M6" i="1"/>
  <c r="O12" i="1"/>
  <c r="R7" i="1"/>
  <c r="I6" i="1"/>
  <c r="O7" i="1"/>
  <c r="T24" i="1"/>
  <c r="T25" i="1"/>
  <c r="O28" i="1"/>
  <c r="R37" i="1"/>
  <c r="O37" i="1"/>
  <c r="R39" i="1"/>
  <c r="O39" i="1"/>
  <c r="R41" i="1"/>
  <c r="O41" i="1"/>
  <c r="R43" i="1"/>
  <c r="O43" i="1"/>
  <c r="O76" i="1"/>
  <c r="AD3" i="1"/>
  <c r="Q5" i="1"/>
  <c r="Q4" i="1" s="1"/>
  <c r="AB6" i="1"/>
  <c r="AJ6" i="1"/>
  <c r="L7" i="1"/>
  <c r="P7" i="1"/>
  <c r="L9" i="1"/>
  <c r="P9" i="1"/>
  <c r="Q10" i="1"/>
  <c r="Q6" i="1" s="1"/>
  <c r="Q11" i="1"/>
  <c r="L12" i="1"/>
  <c r="P12" i="1"/>
  <c r="P13" i="1"/>
  <c r="O14" i="1"/>
  <c r="O16" i="1"/>
  <c r="O17" i="1"/>
  <c r="O18" i="1"/>
  <c r="O19" i="1"/>
  <c r="O20" i="1"/>
  <c r="O21" i="1"/>
  <c r="O22" i="1"/>
  <c r="O30" i="1"/>
  <c r="Q32" i="1"/>
  <c r="Q37" i="1"/>
  <c r="R44" i="1"/>
  <c r="S68" i="1"/>
  <c r="P71" i="1"/>
  <c r="P69" i="1" s="1"/>
  <c r="Q77" i="1"/>
  <c r="R38" i="1"/>
  <c r="O38" i="1"/>
  <c r="R42" i="1"/>
  <c r="O42" i="1"/>
  <c r="R45" i="1"/>
  <c r="O45" i="1"/>
  <c r="J64" i="1"/>
  <c r="S64" i="1" s="1"/>
  <c r="S67" i="1"/>
  <c r="I4" i="1"/>
  <c r="E6" i="1"/>
  <c r="E3" i="1" s="1"/>
  <c r="Y6" i="1"/>
  <c r="AG6" i="1"/>
  <c r="AG3" i="1" s="1"/>
  <c r="Q23" i="1"/>
  <c r="O27" i="1"/>
  <c r="Q30" i="1"/>
  <c r="J31" i="1"/>
  <c r="Q35" i="1"/>
  <c r="M47" i="1"/>
  <c r="O47" i="1"/>
  <c r="R50" i="1"/>
  <c r="I47" i="1"/>
  <c r="BC76" i="1"/>
  <c r="BC3" i="1" s="1"/>
  <c r="R40" i="1"/>
  <c r="O40" i="1"/>
  <c r="P105" i="1"/>
  <c r="AB46" i="1"/>
  <c r="O100" i="1"/>
  <c r="O99" i="1" s="1"/>
  <c r="K4" i="1"/>
  <c r="K6" i="1"/>
  <c r="T6" i="1" s="1"/>
  <c r="O23" i="1"/>
  <c r="Q27" i="1"/>
  <c r="Q33" i="1"/>
  <c r="Q34" i="1"/>
  <c r="L46" i="1"/>
  <c r="P67" i="1"/>
  <c r="P64" i="1" s="1"/>
  <c r="J69" i="1"/>
  <c r="S69" i="1" s="1"/>
  <c r="S71" i="1"/>
  <c r="K46" i="1"/>
  <c r="T46" i="1" s="1"/>
  <c r="AE46" i="1"/>
  <c r="BG46" i="1"/>
  <c r="Q49" i="1"/>
  <c r="Q47" i="1" s="1"/>
  <c r="P51" i="1"/>
  <c r="P47" i="1" s="1"/>
  <c r="P46" i="1" s="1"/>
  <c r="P52" i="1"/>
  <c r="O53" i="1"/>
  <c r="O54" i="1"/>
  <c r="O55" i="1"/>
  <c r="O56" i="1"/>
  <c r="L57" i="1"/>
  <c r="Q58" i="1"/>
  <c r="Q59" i="1"/>
  <c r="O61" i="1"/>
  <c r="O62" i="1"/>
  <c r="O63" i="1"/>
  <c r="Q65" i="1"/>
  <c r="Q64" i="1" s="1"/>
  <c r="Q66" i="1"/>
  <c r="R68" i="1"/>
  <c r="O71" i="1"/>
  <c r="O69" i="1" s="1"/>
  <c r="P78" i="1"/>
  <c r="P77" i="1" s="1"/>
  <c r="P79" i="1"/>
  <c r="P80" i="1"/>
  <c r="P81" i="1"/>
  <c r="P82" i="1"/>
  <c r="P84" i="1"/>
  <c r="P85" i="1"/>
  <c r="P86" i="1"/>
  <c r="P87" i="1"/>
  <c r="P88" i="1"/>
  <c r="P89" i="1"/>
  <c r="S96" i="1"/>
  <c r="T98" i="1"/>
  <c r="L100" i="1"/>
  <c r="L99" i="1" s="1"/>
  <c r="S101" i="1"/>
  <c r="T102" i="1"/>
  <c r="R105" i="1"/>
  <c r="S107" i="1"/>
  <c r="N109" i="1"/>
  <c r="N99" i="1" s="1"/>
  <c r="M125" i="1"/>
  <c r="E47" i="1"/>
  <c r="E46" i="1" s="1"/>
  <c r="J47" i="1"/>
  <c r="M48" i="1"/>
  <c r="I57" i="1"/>
  <c r="R57" i="1" s="1"/>
  <c r="M57" i="1"/>
  <c r="K60" i="1"/>
  <c r="T60" i="1" s="1"/>
  <c r="I64" i="1"/>
  <c r="R64" i="1" s="1"/>
  <c r="Y64" i="1"/>
  <c r="Y46" i="1" s="1"/>
  <c r="M46" i="1" s="1"/>
  <c r="AB69" i="1"/>
  <c r="M69" i="1" s="1"/>
  <c r="BG76" i="1"/>
  <c r="N76" i="1" s="1"/>
  <c r="L77" i="1"/>
  <c r="J94" i="1"/>
  <c r="S94" i="1" s="1"/>
  <c r="L94" i="1"/>
  <c r="T96" i="1"/>
  <c r="P98" i="1"/>
  <c r="P94" i="1" s="1"/>
  <c r="J100" i="1"/>
  <c r="Y100" i="1"/>
  <c r="Y99" i="1" s="1"/>
  <c r="Y76" i="1" s="1"/>
  <c r="M76" i="1" s="1"/>
  <c r="T101" i="1"/>
  <c r="P102" i="1"/>
  <c r="P100" i="1" s="1"/>
  <c r="P99" i="1" s="1"/>
  <c r="O107" i="1"/>
  <c r="S108" i="1"/>
  <c r="Q110" i="1"/>
  <c r="Q109" i="1" s="1"/>
  <c r="K94" i="1"/>
  <c r="T94" i="1" s="1"/>
  <c r="T95" i="1"/>
  <c r="S106" i="1"/>
  <c r="Q117" i="1"/>
  <c r="P135" i="1"/>
  <c r="K57" i="1"/>
  <c r="T57" i="1" s="1"/>
  <c r="I60" i="1"/>
  <c r="R60" i="1" s="1"/>
  <c r="K64" i="1"/>
  <c r="T64" i="1" s="1"/>
  <c r="I76" i="1"/>
  <c r="R76" i="1" s="1"/>
  <c r="J77" i="1"/>
  <c r="I99" i="1"/>
  <c r="R99" i="1" s="1"/>
  <c r="BE99" i="1"/>
  <c r="BE76" i="1" s="1"/>
  <c r="T103" i="1"/>
  <c r="Q108" i="1"/>
  <c r="Q100" i="1" s="1"/>
  <c r="Q99" i="1" s="1"/>
  <c r="T108" i="1"/>
  <c r="K109" i="1"/>
  <c r="K99" i="1" s="1"/>
  <c r="T99" i="1" s="1"/>
  <c r="M109" i="1"/>
  <c r="Q130" i="1"/>
  <c r="T112" i="1"/>
  <c r="T111" i="1" s="1"/>
  <c r="R114" i="1"/>
  <c r="R113" i="1" s="1"/>
  <c r="R115" i="1"/>
  <c r="R116" i="1"/>
  <c r="T118" i="1"/>
  <c r="T119" i="1"/>
  <c r="T120" i="1"/>
  <c r="R122" i="1"/>
  <c r="R124" i="1"/>
  <c r="P128" i="1"/>
  <c r="AE129" i="1"/>
  <c r="L131" i="1"/>
  <c r="S132" i="1"/>
  <c r="J131" i="1"/>
  <c r="P134" i="1"/>
  <c r="S139" i="1"/>
  <c r="J138" i="1"/>
  <c r="S138" i="1" s="1"/>
  <c r="J113" i="1"/>
  <c r="S114" i="1"/>
  <c r="S113" i="1" s="1"/>
  <c r="S115" i="1"/>
  <c r="S116" i="1"/>
  <c r="J121" i="1"/>
  <c r="S121" i="1" s="1"/>
  <c r="S122" i="1"/>
  <c r="S124" i="1"/>
  <c r="P126" i="1"/>
  <c r="AB125" i="1"/>
  <c r="AB76" i="1" s="1"/>
  <c r="J127" i="1"/>
  <c r="BE130" i="1"/>
  <c r="P132" i="1"/>
  <c r="AF130" i="1"/>
  <c r="AF129" i="1" s="1"/>
  <c r="AF3" i="1" s="1"/>
  <c r="N135" i="1"/>
  <c r="O136" i="1"/>
  <c r="O135" i="1" s="1"/>
  <c r="O130" i="1" s="1"/>
  <c r="R136" i="1"/>
  <c r="I135" i="1"/>
  <c r="R135" i="1" s="1"/>
  <c r="P137" i="1"/>
  <c r="J135" i="1"/>
  <c r="S135" i="1" s="1"/>
  <c r="S137" i="1"/>
  <c r="O146" i="1"/>
  <c r="BG129" i="1"/>
  <c r="N129" i="1" s="1"/>
  <c r="N131" i="1"/>
  <c r="O138" i="1"/>
  <c r="Q135" i="1"/>
  <c r="P139" i="1"/>
  <c r="P138" i="1" s="1"/>
  <c r="Q150" i="1"/>
  <c r="Q146" i="1" s="1"/>
  <c r="Q138" i="1" s="1"/>
  <c r="Q151" i="1"/>
  <c r="Q152" i="1"/>
  <c r="BF130" i="1"/>
  <c r="AE138" i="1"/>
  <c r="M138" i="1" s="1"/>
  <c r="BG138" i="1"/>
  <c r="N138" i="1" s="1"/>
  <c r="AJ139" i="1"/>
  <c r="AJ138" i="1" s="1"/>
  <c r="AJ129" i="1" s="1"/>
  <c r="T142" i="1"/>
  <c r="S143" i="1"/>
  <c r="R144" i="1"/>
  <c r="T145" i="1"/>
  <c r="I146" i="1"/>
  <c r="R146" i="1" s="1"/>
  <c r="R147" i="1"/>
  <c r="R148" i="1"/>
  <c r="R149" i="1"/>
  <c r="R150" i="1"/>
  <c r="R151" i="1"/>
  <c r="R152" i="1"/>
  <c r="F153" i="1"/>
  <c r="F129" i="1" s="1"/>
  <c r="F3" i="1" s="1"/>
  <c r="P143" i="1"/>
  <c r="K135" i="1"/>
  <c r="I138" i="1"/>
  <c r="R138" i="1" s="1"/>
  <c r="K146" i="1"/>
  <c r="T146" i="1" s="1"/>
  <c r="O129" i="1" l="1"/>
  <c r="L76" i="1"/>
  <c r="BE3" i="1"/>
  <c r="L3" i="1" s="1"/>
  <c r="R47" i="1"/>
  <c r="I46" i="1"/>
  <c r="R46" i="1" s="1"/>
  <c r="K130" i="1"/>
  <c r="T135" i="1"/>
  <c r="J125" i="1"/>
  <c r="S125" i="1" s="1"/>
  <c r="S127" i="1"/>
  <c r="P127" i="1"/>
  <c r="P125" i="1" s="1"/>
  <c r="P76" i="1" s="1"/>
  <c r="K76" i="1"/>
  <c r="T76" i="1" s="1"/>
  <c r="J46" i="1"/>
  <c r="S46" i="1" s="1"/>
  <c r="S47" i="1"/>
  <c r="N46" i="1"/>
  <c r="BG3" i="1"/>
  <c r="N3" i="1" s="1"/>
  <c r="S31" i="1"/>
  <c r="J6" i="1"/>
  <c r="Q76" i="1"/>
  <c r="AJ3" i="1"/>
  <c r="R6" i="1"/>
  <c r="P31" i="1"/>
  <c r="P6" i="1" s="1"/>
  <c r="P3" i="1" s="1"/>
  <c r="L130" i="1"/>
  <c r="BE129" i="1"/>
  <c r="L129" i="1" s="1"/>
  <c r="O6" i="1"/>
  <c r="N130" i="1"/>
  <c r="P131" i="1"/>
  <c r="P130" i="1" s="1"/>
  <c r="P129" i="1" s="1"/>
  <c r="M100" i="1"/>
  <c r="M99" i="1" s="1"/>
  <c r="S77" i="1"/>
  <c r="J76" i="1"/>
  <c r="S76" i="1" s="1"/>
  <c r="J99" i="1"/>
  <c r="S99" i="1" s="1"/>
  <c r="S100" i="1"/>
  <c r="O60" i="1"/>
  <c r="O46" i="1" s="1"/>
  <c r="AE3" i="1"/>
  <c r="Y3" i="1"/>
  <c r="AB3" i="1"/>
  <c r="K138" i="1"/>
  <c r="T138" i="1" s="1"/>
  <c r="M64" i="1"/>
  <c r="L139" i="1"/>
  <c r="M130" i="1"/>
  <c r="BF129" i="1"/>
  <c r="L138" i="1"/>
  <c r="S153" i="1"/>
  <c r="I130" i="1"/>
  <c r="J130" i="1"/>
  <c r="S131" i="1"/>
  <c r="Q129" i="1"/>
  <c r="Q57" i="1"/>
  <c r="Q46" i="1" s="1"/>
  <c r="Q3" i="1" s="1"/>
  <c r="T4" i="1"/>
  <c r="R4" i="1"/>
  <c r="L6" i="1"/>
  <c r="R130" i="1" l="1"/>
  <c r="I129" i="1"/>
  <c r="S6" i="1"/>
  <c r="S130" i="1"/>
  <c r="J129" i="1"/>
  <c r="S129" i="1" s="1"/>
  <c r="O3" i="1"/>
  <c r="M129" i="1"/>
  <c r="BF3" i="1"/>
  <c r="M3" i="1" s="1"/>
  <c r="T130" i="1"/>
  <c r="K129" i="1"/>
  <c r="R129" i="1" l="1"/>
  <c r="I3" i="1"/>
  <c r="R3" i="1" s="1"/>
  <c r="J3" i="1"/>
  <c r="S3" i="1" s="1"/>
  <c r="T129" i="1"/>
  <c r="K3" i="1"/>
  <c r="T3" i="1" s="1"/>
</calcChain>
</file>

<file path=xl/comments1.xml><?xml version="1.0" encoding="utf-8"?>
<comments xmlns="http://schemas.openxmlformats.org/spreadsheetml/2006/main">
  <authors>
    <author>Setor Contabil</author>
    <author/>
  </authors>
  <commentList>
    <comment ref="H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OUTRAS FONTES</t>
        </r>
      </text>
    </comment>
    <comment ref="D3" authorId="1">
      <text>
        <r>
          <rPr>
            <sz val="11"/>
            <color rgb="FF000000"/>
            <rFont val="Calibri"/>
            <family val="2"/>
          </rPr>
          <t>Incluir o valor da MATRIZ PREVISTO PARA O CAMPUS
======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FECHADO
descontar valores descontados/empenhados na reitoria - L66 e L71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RAP2020= 2.334.448,14
RAP2019= 3578,54 EBC
RAP2019=412,50 W&amp;V
T.2.338.439,18-FECHADO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saldo da conta 622920101=115932,60 (maio/21) - empenho 21NE000018=880,00(fonte 0100)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Saldo da conta 6311000000 - rap2019=4.865,14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empenhado até setembro-contrato até 08/09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período de ago a dez empenhado R$ 40.040,12 p/mês = 10 postos
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COMP.11-2021 E 12-2021-Juliano estava de férias e atestou somente em janeiro2021
</t>
        </r>
      </text>
    </comment>
    <comment ref="AB1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COMP.01-2021
</t>
        </r>
      </text>
    </comment>
    <comment ref="AD1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COMP.02-2021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COMP.03-2021 E 04/2021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339039-79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reitoria</t>
        </r>
      </text>
    </comment>
    <comment ref="AG27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desc.até maio/21 na reitoria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DELFOS ENGENHARIA
</t>
        </r>
      </text>
    </comment>
    <comment ref="AJ44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MULTA E JUROS S/FATURA DA ENERGIA ELETRICA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contrato finaliza em setembro e não pode ser prorrogado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339039-83</t>
        </r>
      </text>
    </comment>
    <comment ref="D53" authorId="1">
      <text>
        <r>
          <rPr>
            <sz val="11"/>
            <color rgb="FF000000"/>
            <rFont val="Calibri"/>
            <family val="2"/>
          </rPr>
          <t>======
ID#AAAAL2MisYI
Reitoria desconta do orçamento.
(Reserva Institucional 1%)
(até maio R$8.764,11)</t>
        </r>
      </text>
    </comment>
    <comment ref="D54" authorId="1">
      <text>
        <r>
          <rPr>
            <sz val="11"/>
            <color rgb="FF000000"/>
            <rFont val="Calibri"/>
            <family val="2"/>
          </rPr>
          <t>======
ID#AAAAL2MisYQ
Gilson Parodes    (2021-03-26 01:22:38)
(Reitoria) 
(Reserva Institucional 1%)
(R$ X,XX)</t>
        </r>
      </text>
    </comment>
    <comment ref="D57" authorId="1">
      <text>
        <r>
          <rPr>
            <sz val="11"/>
            <color rgb="FF000000"/>
            <rFont val="Calibri"/>
            <family val="2"/>
          </rPr>
          <t>======
descontado do orçamento na reitoria
(Reserva Institucional 1%)
(até maio R$8.764,11)</t>
        </r>
      </text>
    </comment>
    <comment ref="D70" authorId="1">
      <text>
        <r>
          <rPr>
            <sz val="11"/>
            <color rgb="FF000000"/>
            <rFont val="Calibri"/>
            <family val="2"/>
          </rPr>
          <t>======
ID#AAAAL2Miso8
Gilson Parodes    (2021-03-26 01:33:15)
(Reitoria) 
(Reserva Institucional 2,5%)
(R$ X,XX) 
(Despesa de capital)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descontado na reitoria, até maio/21=</t>
        </r>
      </text>
    </comment>
    <comment ref="D94" authorId="1">
      <text>
        <r>
          <rPr>
            <sz val="11"/>
            <color rgb="FF000000"/>
            <rFont val="Calibri"/>
            <family val="2"/>
          </rPr>
          <t>======
ID#AAAAL2Mispc
Gilson Parodes    (2021-03-26 01:35:50)
(Reserva Institucional 1%)
(R$ X,XX)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MATERIAL DE CONSUMO
</t>
        </r>
      </text>
    </comment>
    <comment ref="AF110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RP03</t>
        </r>
      </text>
    </comment>
    <comment ref="D117" authorId="1">
      <text>
        <r>
          <rPr>
            <sz val="11"/>
            <color rgb="FF000000"/>
            <rFont val="Calibri"/>
            <family val="2"/>
          </rPr>
          <t>======
ID#AAAAL2MisqI
Gilson Parodes    (2021-03-26 01:40:31)
(Reserva Institucional 1,5%)
(R$ X,XX)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GD Distribuidora de Livros
</t>
        </r>
      </text>
    </comment>
    <comment ref="D131" authorId="1">
      <text>
        <r>
          <rPr>
            <sz val="11"/>
            <color rgb="FF000000"/>
            <rFont val="Calibri"/>
            <family val="2"/>
          </rPr>
          <t>======
ID#AAAAL2Misqw
Gilson Parodes    (2021-03-26 01:45:44)
(Reserva Institucional 1,5%)
(R$ X,XX)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descontado ref. estagiária Giorgia e Karen- até maio R$ 5.254,16, correto R$ 12.478,68</t>
        </r>
      </text>
    </comment>
    <comment ref="AB14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EMPENHOS ANULADOS
</t>
        </r>
      </text>
    </comment>
  </commentList>
</comments>
</file>

<file path=xl/sharedStrings.xml><?xml version="1.0" encoding="utf-8"?>
<sst xmlns="http://schemas.openxmlformats.org/spreadsheetml/2006/main" count="398" uniqueCount="280">
  <si>
    <t xml:space="preserve"> PLANEJAMENTO E CONTROLE DA EXECUÇÃO ORÇAMENTÁRIA - DADOS ACUMULADOS ATÉ JULHO/2021.</t>
  </si>
  <si>
    <t>VALOR EMPENHADO</t>
  </si>
  <si>
    <t>VALOR LIQUIDADO</t>
  </si>
  <si>
    <t xml:space="preserve">VALOR PAGO </t>
  </si>
  <si>
    <t>SALDO (DISPONÍVEL NO EMPENHO)</t>
  </si>
  <si>
    <t>PERCENTUAL GASTO EM RELAÇÃO AO EMPENHADO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</si>
  <si>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</si>
  <si>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</si>
  <si>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</si>
  <si>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</si>
  <si>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</si>
  <si>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</si>
  <si>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</si>
  <si>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</si>
  <si>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</si>
  <si>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</si>
  <si>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</si>
  <si>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</si>
  <si>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PAGAMENTOS REALIZADOS NO EXERCÍCIO</t>
  </si>
  <si>
    <t>PLANO DE AÇÃO 2021</t>
  </si>
  <si>
    <t>DESCRIÇÃO DA AÇÃO</t>
  </si>
  <si>
    <t>MATRIZ</t>
  </si>
  <si>
    <t>RAP</t>
  </si>
  <si>
    <t>RAP ANULADO</t>
  </si>
  <si>
    <t>OUTROS</t>
  </si>
  <si>
    <t>MATRIZ
(empenhado)</t>
  </si>
  <si>
    <t>OUTROS 
(empenhado)</t>
  </si>
  <si>
    <t>MATRIZ
(emp)</t>
  </si>
  <si>
    <t>OUTROS 
(emp.)</t>
  </si>
  <si>
    <t>NE ANO</t>
  </si>
  <si>
    <t>NE RAP</t>
  </si>
  <si>
    <t>RUBRICA</t>
  </si>
  <si>
    <t>TOTAL</t>
  </si>
  <si>
    <t>DG - DIREÇÃO GERAL</t>
  </si>
  <si>
    <t>33.90.14-14</t>
  </si>
  <si>
    <t>Deslocamento - Diárias a servidores</t>
  </si>
  <si>
    <t>DAD - DIRETORIA DE ADMINISTRAÇÃO</t>
  </si>
  <si>
    <t>2021NE000002</t>
  </si>
  <si>
    <t>2020NE800124</t>
  </si>
  <si>
    <t>33.90.39-43</t>
  </si>
  <si>
    <t xml:space="preserve">Energia elétrica </t>
  </si>
  <si>
    <t>2020NE800011-2020NE800236</t>
  </si>
  <si>
    <t>33.90.39-47</t>
  </si>
  <si>
    <t xml:space="preserve">Serviços postais, Correios </t>
  </si>
  <si>
    <t>2021NE000010</t>
  </si>
  <si>
    <t>2020NE800121</t>
  </si>
  <si>
    <t>33.90.37-03</t>
  </si>
  <si>
    <t xml:space="preserve">Vigilância Predial </t>
  </si>
  <si>
    <t>33.91.39-05</t>
  </si>
  <si>
    <t>Projeto para vídeo segurança</t>
  </si>
  <si>
    <t>33.90.30-28</t>
  </si>
  <si>
    <t>Aquisição de Câmeras e materais de vídeo segurança</t>
  </si>
  <si>
    <t>2021NE000007</t>
  </si>
  <si>
    <t>2020NE800120</t>
  </si>
  <si>
    <t>33.90.37-02</t>
  </si>
  <si>
    <t xml:space="preserve">Limpeza </t>
  </si>
  <si>
    <t>2021NE000008</t>
  </si>
  <si>
    <t>2020NE800122</t>
  </si>
  <si>
    <t>33.90.37-01</t>
  </si>
  <si>
    <t xml:space="preserve">Jardinagem </t>
  </si>
  <si>
    <t>2021NE000041</t>
  </si>
  <si>
    <t>2019NE800015</t>
  </si>
  <si>
    <t>33.90.39-78</t>
  </si>
  <si>
    <t>Coleta de Resíduos</t>
  </si>
  <si>
    <t>2021NE000009</t>
  </si>
  <si>
    <t>2020NE800118</t>
  </si>
  <si>
    <t xml:space="preserve">Manutenção predial Infra </t>
  </si>
  <si>
    <t>2021NE000006</t>
  </si>
  <si>
    <t>2020NE800123</t>
  </si>
  <si>
    <t>Manutenção Agropecuária</t>
  </si>
  <si>
    <t>2020NE800190</t>
  </si>
  <si>
    <t>33.90.39-17</t>
  </si>
  <si>
    <t xml:space="preserve">Manutenção extintores e mangueiras </t>
  </si>
  <si>
    <t>2021NE000040</t>
  </si>
  <si>
    <t>33.90.39-16</t>
  </si>
  <si>
    <t xml:space="preserve">Manutenção elétrica </t>
  </si>
  <si>
    <t>33.90.39-20</t>
  </si>
  <si>
    <t>Manutenção persianas e cortinas</t>
  </si>
  <si>
    <t>Manutenção de ar condicionado</t>
  </si>
  <si>
    <t>2020NE800168</t>
  </si>
  <si>
    <t>Manutenção e conservação de bens móveis- hidráulica-reparos</t>
  </si>
  <si>
    <t>2021NE000035</t>
  </si>
  <si>
    <t>Manutenção de equipamentos de laboratório</t>
  </si>
  <si>
    <t>Manutenção de maquinários agrícolas- HM</t>
  </si>
  <si>
    <t>Manutenção do serviço de detetização</t>
  </si>
  <si>
    <t>2020NE800240</t>
  </si>
  <si>
    <t>44.90.52-99</t>
  </si>
  <si>
    <t>Aquisição de equipamentos de uso geral</t>
  </si>
  <si>
    <t>2020NE800172-2020NE800173</t>
  </si>
  <si>
    <t>44.90.52-42</t>
  </si>
  <si>
    <t>Aquisição de mobiliário</t>
  </si>
  <si>
    <t>33.90.30-01</t>
  </si>
  <si>
    <t>Manutenção de frotas - Combustível</t>
  </si>
  <si>
    <t>2021NE000004</t>
  </si>
  <si>
    <t>2020NE800134</t>
  </si>
  <si>
    <t>Publicidade legal em jornais</t>
  </si>
  <si>
    <t>33.90.47-10</t>
  </si>
  <si>
    <t>Obrigações tributárias</t>
  </si>
  <si>
    <t>2021NE000039</t>
  </si>
  <si>
    <t>33.90.39-69</t>
  </si>
  <si>
    <t xml:space="preserve">Seguro veicular e IPVA </t>
  </si>
  <si>
    <t>2020NE800131-2020NE800136-2020NE800137-2020NE800139-2020NE800144-2020NE800146</t>
  </si>
  <si>
    <t>33.90.30-99</t>
  </si>
  <si>
    <t>Material de Consumo conservação</t>
  </si>
  <si>
    <t>2021NE000001+NE000017+NE000019+NE000020+NE000021+NE000022+NE000024+NE000025+NE000026+NE000027+NE000028+NE000029+NE000030+NE000031+NE000032+NE000033</t>
  </si>
  <si>
    <t>2020NE800153-2020NE800155-2020NE800170</t>
  </si>
  <si>
    <t>Material consumo LEPEPs  Produção</t>
  </si>
  <si>
    <t>33.90.30-16</t>
  </si>
  <si>
    <t>Material de expediente</t>
  </si>
  <si>
    <t>2020NE800177</t>
  </si>
  <si>
    <t>44.90.51-91</t>
  </si>
  <si>
    <t xml:space="preserve">Ampliação do Prédio Administrativo - Prédio D </t>
  </si>
  <si>
    <t>2020NE800193</t>
  </si>
  <si>
    <t>Reforma do refeitório e rede de gás</t>
  </si>
  <si>
    <t>33.90.30-21</t>
  </si>
  <si>
    <t>Aquisição materiais e utensílios para refeitório</t>
  </si>
  <si>
    <t>Aquisição de materiais para enfrentamento COVID 19</t>
  </si>
  <si>
    <t>44.90.51-92</t>
  </si>
  <si>
    <t>Ampliação Prédio Administrativo - Aditivo</t>
  </si>
  <si>
    <t>Serviços de manutenção tabela SINAPI</t>
  </si>
  <si>
    <t>44.90.51-99</t>
  </si>
  <si>
    <t>Execução dos Projetos de PPCI</t>
  </si>
  <si>
    <t>Auxiliar Administrativo terceirizado</t>
  </si>
  <si>
    <t>2020NE800019</t>
  </si>
  <si>
    <t>33.90.39-05</t>
  </si>
  <si>
    <t>Serv.Tec.Profissionais-Projeto de Plano de Prevenção contra incêndio</t>
  </si>
  <si>
    <t>2020ne800181</t>
  </si>
  <si>
    <t>Serv.Tec.Profissionais-Adequação do lab.de Alimentos</t>
  </si>
  <si>
    <t>2021NE000016-2021NE000015</t>
  </si>
  <si>
    <t>33.90.47-16</t>
  </si>
  <si>
    <t>Juros e Multa / taxa e afins (isbn- art)</t>
  </si>
  <si>
    <t>2021NE000014</t>
  </si>
  <si>
    <t>33.90.33-99</t>
  </si>
  <si>
    <t>Reembolso</t>
  </si>
  <si>
    <t>DPDI - DIRETORIA DE PLANEJ E DESENV INSTITUCIONAL</t>
  </si>
  <si>
    <t>GERAL</t>
  </si>
  <si>
    <t>21NE000037</t>
  </si>
  <si>
    <t>2020NE800068; 2020ne800069</t>
  </si>
  <si>
    <t>33.90.39-58</t>
  </si>
  <si>
    <t xml:space="preserve">Telefonia e Internet - Telefonia Fixa </t>
  </si>
  <si>
    <t>2021NE000011</t>
  </si>
  <si>
    <t>2020NE800126</t>
  </si>
  <si>
    <t>33.90.40-13</t>
  </si>
  <si>
    <t xml:space="preserve">Telefonia e Internet - Link Internet </t>
  </si>
  <si>
    <t>2021NE000012</t>
  </si>
  <si>
    <t>2020NE800125</t>
  </si>
  <si>
    <t>Telefonia e Internet - Manutenção central telefônica</t>
  </si>
  <si>
    <t>33.90.39-56</t>
  </si>
  <si>
    <t>Manutenção de Hardware</t>
  </si>
  <si>
    <t>2020NE800119</t>
  </si>
  <si>
    <t>33.90.40-16</t>
  </si>
  <si>
    <t>Manutenção de Impressoras/Outsourcing de Impressão</t>
  </si>
  <si>
    <t>PIIQP (reserva institucional  1%=21.187,92)</t>
  </si>
  <si>
    <t>PIIQPPE (reserva institucional  1%=21.187,92)</t>
  </si>
  <si>
    <t>PID (reserva Institucional 1%= R$ 21.187,92)</t>
  </si>
  <si>
    <t>Material de consumo</t>
  </si>
  <si>
    <t>33.90.36-28</t>
  </si>
  <si>
    <t>Horas Curso/Concurso</t>
  </si>
  <si>
    <t>CAPACITAÇÃO DE SERVIDORES</t>
  </si>
  <si>
    <t>Diárias a servidores</t>
  </si>
  <si>
    <t>33.90.33-01</t>
  </si>
  <si>
    <t>Reembolso de Passagens (terrestres, aéreas, ...)</t>
  </si>
  <si>
    <t>Inscrições</t>
  </si>
  <si>
    <t>PROCESSO SELETIVO</t>
  </si>
  <si>
    <t>Processo Seletivo - serviços de seleção e treinamento</t>
  </si>
  <si>
    <t>33.90.39-63</t>
  </si>
  <si>
    <t>Processo Seletivo - serviços gráficos</t>
  </si>
  <si>
    <t>2021NE000036</t>
  </si>
  <si>
    <t>2020NE800176-2020NE800180-2019NE800012</t>
  </si>
  <si>
    <t>33.90.39-90</t>
  </si>
  <si>
    <t>EBC</t>
  </si>
  <si>
    <t xml:space="preserve">Processo Seletivo - Carro de Som </t>
  </si>
  <si>
    <t>TI</t>
  </si>
  <si>
    <t>FUNDO DE TI (reserva instit. 2,5%= 44.219,80) + 10.000,00 INVESTIMENTO</t>
  </si>
  <si>
    <t>2020NE800225+NE800226+NE800227+NE800239</t>
  </si>
  <si>
    <t>44.90.52</t>
  </si>
  <si>
    <r>
      <rPr>
        <sz val="12"/>
        <rFont val="Calibri"/>
        <family val="2"/>
      </rPr>
      <t xml:space="preserve">Equipamentos e Material Permanente </t>
    </r>
    <r>
      <rPr>
        <b/>
        <sz val="12"/>
        <rFont val="Calibri"/>
        <family val="2"/>
      </rPr>
      <t>(Despesa de capital)</t>
    </r>
  </si>
  <si>
    <t>33.90.39-12</t>
  </si>
  <si>
    <r>
      <rPr>
        <sz val="12"/>
        <color theme="1"/>
        <rFont val="Calibri"/>
        <family val="2"/>
      </rPr>
      <t xml:space="preserve">Locação e Manutenção Impressoras </t>
    </r>
    <r>
      <rPr>
        <b/>
        <sz val="12"/>
        <color theme="1"/>
        <rFont val="Calibri"/>
        <family val="2"/>
      </rPr>
      <t xml:space="preserve"> </t>
    </r>
  </si>
  <si>
    <t xml:space="preserve">Manutenção de Equipamentos de Informática </t>
  </si>
  <si>
    <t>33.90.39-11</t>
  </si>
  <si>
    <t xml:space="preserve">Licença de softwares </t>
  </si>
  <si>
    <t>33.90.30</t>
  </si>
  <si>
    <t>DE - DIRETORIA DE ENSINO</t>
  </si>
  <si>
    <t>33.90.36-02</t>
  </si>
  <si>
    <t>Diárias a colaboradores</t>
  </si>
  <si>
    <r>
      <rPr>
        <sz val="12"/>
        <color rgb="FF0000FF"/>
        <rFont val="Calibri"/>
        <family val="2"/>
      </rPr>
      <t xml:space="preserve">Material permanente </t>
    </r>
    <r>
      <rPr>
        <b/>
        <sz val="12"/>
        <color rgb="FF0000FF"/>
        <rFont val="Calibri"/>
        <family val="2"/>
      </rPr>
      <t>(Despesa de capital)</t>
    </r>
  </si>
  <si>
    <r>
      <rPr>
        <sz val="12"/>
        <color theme="1"/>
        <rFont val="Calibri"/>
        <family val="2"/>
      </rPr>
      <t>Manutenção Equipamentos Laboratórios</t>
    </r>
    <r>
      <rPr>
        <b/>
        <sz val="12"/>
        <color theme="1"/>
        <rFont val="Calibri"/>
        <family val="2"/>
      </rPr>
      <t xml:space="preserve"> (DJ Serviços- elp - mega)</t>
    </r>
  </si>
  <si>
    <t>Locação de software</t>
  </si>
  <si>
    <t>33.90.40-21</t>
  </si>
  <si>
    <t xml:space="preserve">Outros Serviços de Terceiros P.J. </t>
  </si>
  <si>
    <t>Seguro de vida estudantes</t>
  </si>
  <si>
    <t>2020NE800133</t>
  </si>
  <si>
    <t>Ações inclusivas - (cuidadores,...)</t>
  </si>
  <si>
    <t>Pagamento horas a palestrantes</t>
  </si>
  <si>
    <t>33.90.33-09</t>
  </si>
  <si>
    <t>Fretamento de ônibus</t>
  </si>
  <si>
    <t>2020NE800235</t>
  </si>
  <si>
    <t>44.90.52-35</t>
  </si>
  <si>
    <t xml:space="preserve">Material de Tic Permanente </t>
  </si>
  <si>
    <t>33.90.47</t>
  </si>
  <si>
    <r>
      <rPr>
        <sz val="12"/>
        <color theme="1"/>
        <rFont val="Calibri"/>
        <family val="2"/>
      </rPr>
      <t>Tributos (</t>
    </r>
    <r>
      <rPr>
        <b/>
        <sz val="12"/>
        <color theme="1"/>
        <rFont val="Calibri"/>
        <family val="2"/>
      </rPr>
      <t>Patronal</t>
    </r>
    <r>
      <rPr>
        <sz val="12"/>
        <color rgb="FF000000"/>
        <rFont val="Calibri"/>
        <family val="2"/>
      </rPr>
      <t>)</t>
    </r>
  </si>
  <si>
    <r>
      <rPr>
        <b/>
        <sz val="12"/>
        <color rgb="FF000000"/>
        <rFont val="Calibri"/>
        <family val="2"/>
      </rPr>
      <t>Curso/Concurso</t>
    </r>
    <r>
      <rPr>
        <sz val="12"/>
        <color rgb="FF000000"/>
        <rFont val="Calibri"/>
        <family val="2"/>
      </rPr>
      <t xml:space="preserve"> – Laboratorista, Palestrante, Seleção e Treinamento, Arbitragem de Jogos (I</t>
    </r>
    <r>
      <rPr>
        <b/>
        <sz val="12"/>
        <color rgb="FF000000"/>
        <rFont val="Calibri"/>
        <family val="2"/>
      </rPr>
      <t>guaçu Desenvolvimento-marceneiro)</t>
    </r>
  </si>
  <si>
    <t>33.90.33</t>
  </si>
  <si>
    <t xml:space="preserve">Transporte - Visitas técnicas </t>
  </si>
  <si>
    <t>33.90.36-69</t>
  </si>
  <si>
    <t>Seguro alunos (Reitoria)</t>
  </si>
  <si>
    <t>PROJETOS DE ENSINO (reserva institucional 1%=21.187,92)</t>
  </si>
  <si>
    <t>2021NE000042</t>
  </si>
  <si>
    <t>33.90.18-01</t>
  </si>
  <si>
    <t>Bolsas PROJEN / Monitorias</t>
  </si>
  <si>
    <t>33.90.20-01</t>
  </si>
  <si>
    <t>Aux. a pesquisadores projetos de ensino (fomento)</t>
  </si>
  <si>
    <t>Material de consumo para projetos de ensino</t>
  </si>
  <si>
    <t xml:space="preserve">Curso/Concurso </t>
  </si>
  <si>
    <t>ASSISTÊNCIA ESTUDANTIL</t>
  </si>
  <si>
    <t xml:space="preserve">5% CUSTEIO DO CAMPUS </t>
  </si>
  <si>
    <t>Reserva Assistência Estudantil</t>
  </si>
  <si>
    <t xml:space="preserve">Monitor de Aluno Especial </t>
  </si>
  <si>
    <t>33.90.47-18</t>
  </si>
  <si>
    <t>Patronal Monitores</t>
  </si>
  <si>
    <t>2019NE800219</t>
  </si>
  <si>
    <t xml:space="preserve">Material Saúde Consumo </t>
  </si>
  <si>
    <t>2020NE800194 A NE800223+NE800192</t>
  </si>
  <si>
    <t>2020NE800241</t>
  </si>
  <si>
    <t>44.90.52.35</t>
  </si>
  <si>
    <t>Equipamentos para Áudio-Projetor Multimidia</t>
  </si>
  <si>
    <t>Material Saúde Permanente (camara fria - equipamentos TI)</t>
  </si>
  <si>
    <t>PNAES</t>
  </si>
  <si>
    <t>2021NE000018</t>
  </si>
  <si>
    <t>33.90.18</t>
  </si>
  <si>
    <t>Auxílios/Bolsa Estudantes (Permanência, Transporte, Eventos e Atleta)</t>
  </si>
  <si>
    <t>RIP</t>
  </si>
  <si>
    <t>33.90.39-41</t>
  </si>
  <si>
    <t>Fornecimento Alimentação (orçamento)</t>
  </si>
  <si>
    <t>FNDE</t>
  </si>
  <si>
    <t xml:space="preserve">Alimentação Escolar </t>
  </si>
  <si>
    <t>33.90.32-05</t>
  </si>
  <si>
    <t>Alimentação Escolar (Agricultura Familiar) -chamada Pública</t>
  </si>
  <si>
    <t>Chamada Pública (agricultura Familiar )</t>
  </si>
  <si>
    <t xml:space="preserve">AÇÕES INCLUSIVAS </t>
  </si>
  <si>
    <t xml:space="preserve">Patronal </t>
  </si>
  <si>
    <t>Serviços de seleção e treinamento</t>
  </si>
  <si>
    <t>BIBLIOTECA</t>
  </si>
  <si>
    <t>2020NE800067</t>
  </si>
  <si>
    <t>44.90.52-18</t>
  </si>
  <si>
    <t>Material Permanente (móveis / livros)</t>
  </si>
  <si>
    <t>Biblioteca- Etiquetas RFD</t>
  </si>
  <si>
    <t>33.90.39</t>
  </si>
  <si>
    <t>Biblioteca Virtual (serviço )</t>
  </si>
  <si>
    <t>COORDENAÇÕES EIXOS/CURSOS</t>
  </si>
  <si>
    <t>Material de Consumo</t>
  </si>
  <si>
    <t>2020NE800228+NE800229+NE800230</t>
  </si>
  <si>
    <t>Material permanente (equipamentos para laboratório) (NUGEDI, NUGEA)</t>
  </si>
  <si>
    <t xml:space="preserve">Material Permanente (Aquisição Bibliográfica) </t>
  </si>
  <si>
    <t>DPEP - DIRETORIA DE PESQUISA, EXTENSÃO E PRODUÇÃO</t>
  </si>
  <si>
    <t xml:space="preserve">PESQUISA </t>
  </si>
  <si>
    <t>PROJETOS DE PESQUISA (reserva 1,5% = 31.781,88)</t>
  </si>
  <si>
    <t xml:space="preserve">Bolsas de Iniciação Científica e Tecn. Edital </t>
  </si>
  <si>
    <t>OUTRAS DESPESAS COM PESQUISA</t>
  </si>
  <si>
    <t>2021NE000005</t>
  </si>
  <si>
    <t xml:space="preserve">Coordenação de Pós Graduação </t>
  </si>
  <si>
    <t>EXTENSÃO</t>
  </si>
  <si>
    <t>PROJETOS DE EXTENSÃO</t>
  </si>
  <si>
    <t>Reserva Extensão - Bolsas/Auxílio ao Pesquisador</t>
  </si>
  <si>
    <t>Bolsas / Projetos Extensão alunos</t>
  </si>
  <si>
    <t>33.90.36-07</t>
  </si>
  <si>
    <t xml:space="preserve">Estagiários </t>
  </si>
  <si>
    <t>Bolsa Coordenação Pós</t>
  </si>
  <si>
    <t>Serviços Gráficos</t>
  </si>
  <si>
    <t>OUTRAS DESPESAS COM EXTENSÃO</t>
  </si>
  <si>
    <t>2020NE800073</t>
  </si>
  <si>
    <t xml:space="preserve">Nugedis </t>
  </si>
  <si>
    <t>NUGEA</t>
  </si>
  <si>
    <t>NIT</t>
  </si>
  <si>
    <t>33.90.36-99</t>
  </si>
  <si>
    <r>
      <rPr>
        <sz val="12"/>
        <color rgb="FF000000"/>
        <rFont val="Calibri"/>
        <family val="2"/>
      </rPr>
      <t xml:space="preserve">Gráfica - </t>
    </r>
    <r>
      <rPr>
        <b/>
        <sz val="12"/>
        <color rgb="FF000000"/>
        <rFont val="Calibri"/>
        <family val="2"/>
      </rPr>
      <t>emenda parlamentar -</t>
    </r>
    <r>
      <rPr>
        <sz val="12"/>
        <color rgb="FF000000"/>
        <rFont val="Calibri"/>
        <family val="2"/>
      </rPr>
      <t xml:space="preserve"> </t>
    </r>
  </si>
  <si>
    <t>PRODUÇÃO</t>
  </si>
  <si>
    <t>2020NE800231 A NE800234</t>
  </si>
  <si>
    <t>Material de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</si>
</sst>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 -416]#,##0.00"/>
  </numFmts>
  <fonts count="3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3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9900FF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1"/>
      <color rgb="FF444444"/>
      <name val="Calibri"/>
      <family val="2"/>
    </font>
    <font>
      <sz val="12"/>
      <color rgb="FFAD5281"/>
      <name val="Calibri"/>
      <family val="2"/>
    </font>
    <font>
      <b/>
      <sz val="12"/>
      <color rgb="FFAD5281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FF"/>
      <name val="Calibri"/>
      <family val="2"/>
    </font>
    <font>
      <i/>
      <sz val="12"/>
      <color rgb="FF000000"/>
      <name val="Calibri"/>
      <family val="2"/>
    </font>
    <font>
      <sz val="12"/>
      <color rgb="FF0000FF"/>
      <name val="Calibri"/>
      <family val="2"/>
    </font>
    <font>
      <b/>
      <sz val="12"/>
      <color rgb="FFF1C232"/>
      <name val="Calibri"/>
      <family val="2"/>
    </font>
    <font>
      <b/>
      <sz val="12"/>
      <color rgb="FFA64D79"/>
      <name val="Calibri"/>
      <family val="2"/>
    </font>
    <font>
      <sz val="11"/>
      <color theme="1"/>
      <name val="Calibri"/>
      <family val="2"/>
    </font>
    <font>
      <sz val="12"/>
      <color rgb="FFA64D79"/>
      <name val="Calibri"/>
      <family val="2"/>
    </font>
    <font>
      <b/>
      <sz val="12"/>
      <color rgb="FF3D85C6"/>
      <name val="Calibri"/>
      <family val="2"/>
    </font>
    <font>
      <sz val="12"/>
      <color rgb="FF93C47D"/>
      <name val="Calibri"/>
      <family val="2"/>
    </font>
    <font>
      <b/>
      <i/>
      <sz val="12"/>
      <color rgb="FF0000FF"/>
      <name val="Calibri"/>
      <family val="2"/>
    </font>
    <font>
      <b/>
      <sz val="12"/>
      <color rgb="FF4A86E8"/>
      <name val="Calibri"/>
      <family val="2"/>
    </font>
    <font>
      <b/>
      <sz val="12"/>
      <color rgb="FF1155CC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theme="6"/>
        <bgColor rgb="FF89C765"/>
      </patternFill>
    </fill>
    <fill>
      <patternFill patternType="solid">
        <fgColor theme="6"/>
        <bgColor indexed="64"/>
      </patternFill>
    </fill>
    <fill>
      <patternFill patternType="solid">
        <fgColor rgb="FFD5A6BD"/>
        <bgColor rgb="FFD5A6BD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4.9989318521683403E-2"/>
        <bgColor rgb="FFE6B8A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4.9989318521683403E-2"/>
        <bgColor rgb="FFFABF8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89C765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theme="0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43" fontId="36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2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64" fontId="5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/>
    <xf numFmtId="164" fontId="5" fillId="0" borderId="0" xfId="0" applyNumberFormat="1" applyFont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44" fontId="5" fillId="3" borderId="4" xfId="1" applyFont="1" applyFill="1" applyBorder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44" fontId="7" fillId="0" borderId="0" xfId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horizontal="left" vertical="center"/>
    </xf>
    <xf numFmtId="44" fontId="5" fillId="7" borderId="4" xfId="1" applyFont="1" applyFill="1" applyBorder="1" applyAlignment="1">
      <alignment horizontal="center" vertical="center"/>
    </xf>
    <xf numFmtId="10" fontId="5" fillId="7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center" wrapText="1"/>
    </xf>
    <xf numFmtId="0" fontId="9" fillId="9" borderId="4" xfId="3" applyFont="1" applyFill="1" applyBorder="1" applyAlignment="1">
      <alignment vertical="center" wrapText="1"/>
    </xf>
    <xf numFmtId="44" fontId="9" fillId="0" borderId="4" xfId="1" applyFont="1" applyBorder="1" applyAlignment="1">
      <alignment horizontal="center" vertical="center"/>
    </xf>
    <xf numFmtId="44" fontId="9" fillId="10" borderId="4" xfId="1" applyFont="1" applyFill="1" applyBorder="1" applyAlignment="1">
      <alignment horizontal="center" vertical="center"/>
    </xf>
    <xf numFmtId="44" fontId="9" fillId="4" borderId="4" xfId="1" applyFont="1" applyFill="1" applyBorder="1" applyAlignment="1">
      <alignment horizontal="center" vertical="center"/>
    </xf>
    <xf numFmtId="9" fontId="9" fillId="4" borderId="4" xfId="2" applyFont="1" applyFill="1" applyBorder="1" applyAlignment="1">
      <alignment horizontal="center" vertical="center"/>
    </xf>
    <xf numFmtId="10" fontId="9" fillId="4" borderId="4" xfId="0" applyNumberFormat="1" applyFont="1" applyFill="1" applyBorder="1" applyAlignment="1">
      <alignment horizontal="center" vertical="center"/>
    </xf>
    <xf numFmtId="44" fontId="9" fillId="0" borderId="0" xfId="1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8" fillId="7" borderId="4" xfId="0" applyNumberFormat="1" applyFont="1" applyFill="1" applyBorder="1" applyAlignment="1">
      <alignment horizontal="left" vertical="center"/>
    </xf>
    <xf numFmtId="164" fontId="8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44" fontId="8" fillId="0" borderId="0" xfId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8" borderId="4" xfId="3" applyFont="1" applyFill="1" applyBorder="1" applyAlignment="1">
      <alignment horizontal="center" vertical="center" wrapText="1"/>
    </xf>
    <xf numFmtId="0" fontId="10" fillId="8" borderId="4" xfId="3" applyFont="1" applyFill="1" applyBorder="1" applyAlignment="1"/>
    <xf numFmtId="3" fontId="9" fillId="9" borderId="4" xfId="3" applyNumberFormat="1" applyFont="1" applyFill="1" applyBorder="1" applyAlignment="1">
      <alignment horizontal="left" vertical="center" wrapText="1"/>
    </xf>
    <xf numFmtId="44" fontId="9" fillId="0" borderId="4" xfId="1" applyFont="1" applyBorder="1" applyAlignment="1">
      <alignment horizontal="right" vertical="center"/>
    </xf>
    <xf numFmtId="44" fontId="12" fillId="0" borderId="4" xfId="1" applyFont="1" applyFill="1" applyBorder="1" applyAlignment="1">
      <alignment horizontal="center" vertical="center"/>
    </xf>
    <xf numFmtId="44" fontId="13" fillId="0" borderId="4" xfId="1" applyFont="1" applyBorder="1" applyAlignment="1">
      <alignment horizontal="center" vertical="center"/>
    </xf>
    <xf numFmtId="0" fontId="10" fillId="8" borderId="4" xfId="3" applyFont="1" applyFill="1" applyBorder="1" applyAlignment="1">
      <alignment horizontal="center" vertical="center"/>
    </xf>
    <xf numFmtId="0" fontId="10" fillId="9" borderId="4" xfId="3" applyFont="1" applyFill="1" applyBorder="1" applyAlignment="1">
      <alignment horizontal="center" vertical="center"/>
    </xf>
    <xf numFmtId="44" fontId="15" fillId="11" borderId="4" xfId="1" applyFont="1" applyFill="1" applyBorder="1" applyAlignment="1"/>
    <xf numFmtId="44" fontId="0" fillId="0" borderId="4" xfId="1" applyFont="1" applyBorder="1" applyAlignment="1"/>
    <xf numFmtId="44" fontId="0" fillId="12" borderId="4" xfId="1" applyFont="1" applyFill="1" applyBorder="1" applyAlignment="1"/>
    <xf numFmtId="44" fontId="9" fillId="12" borderId="4" xfId="1" applyFont="1" applyFill="1" applyBorder="1" applyAlignment="1">
      <alignment horizontal="center" vertical="center"/>
    </xf>
    <xf numFmtId="44" fontId="9" fillId="11" borderId="4" xfId="1" applyFont="1" applyFill="1" applyBorder="1" applyAlignment="1">
      <alignment horizontal="center" vertical="center"/>
    </xf>
    <xf numFmtId="44" fontId="11" fillId="0" borderId="4" xfId="1" applyFont="1" applyBorder="1" applyAlignment="1">
      <alignment horizontal="center" vertical="center"/>
    </xf>
    <xf numFmtId="44" fontId="9" fillId="0" borderId="4" xfId="1" applyFont="1" applyFill="1" applyBorder="1" applyAlignment="1">
      <alignment horizontal="center" vertical="center"/>
    </xf>
    <xf numFmtId="44" fontId="9" fillId="0" borderId="4" xfId="1" applyFont="1" applyFill="1" applyBorder="1" applyAlignment="1">
      <alignment horizontal="right" vertical="center"/>
    </xf>
    <xf numFmtId="44" fontId="9" fillId="13" borderId="4" xfId="1" applyFont="1" applyFill="1" applyBorder="1" applyAlignment="1">
      <alignment horizontal="center" vertical="center"/>
    </xf>
    <xf numFmtId="0" fontId="9" fillId="8" borderId="4" xfId="3" applyFont="1" applyFill="1" applyBorder="1" applyAlignment="1">
      <alignment horizontal="center" vertical="center"/>
    </xf>
    <xf numFmtId="0" fontId="1" fillId="8" borderId="4" xfId="3" applyFont="1" applyFill="1" applyBorder="1" applyAlignment="1"/>
    <xf numFmtId="0" fontId="10" fillId="14" borderId="4" xfId="3" applyFont="1" applyFill="1" applyBorder="1" applyAlignment="1">
      <alignment horizontal="center" vertical="center"/>
    </xf>
    <xf numFmtId="44" fontId="9" fillId="0" borderId="4" xfId="1" applyFont="1" applyFill="1" applyBorder="1" applyAlignment="1">
      <alignment horizontal="center" vertical="center" wrapText="1"/>
    </xf>
    <xf numFmtId="44" fontId="9" fillId="15" borderId="4" xfId="1" applyFont="1" applyFill="1" applyBorder="1" applyAlignment="1">
      <alignment horizontal="center" vertical="center"/>
    </xf>
    <xf numFmtId="44" fontId="13" fillId="0" borderId="4" xfId="1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 wrapText="1"/>
    </xf>
    <xf numFmtId="0" fontId="0" fillId="8" borderId="4" xfId="3" applyFont="1" applyFill="1" applyBorder="1" applyAlignment="1"/>
    <xf numFmtId="0" fontId="9" fillId="16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44" fontId="9" fillId="10" borderId="4" xfId="1" applyFont="1" applyFill="1" applyBorder="1" applyAlignment="1">
      <alignment horizontal="right" vertical="center"/>
    </xf>
    <xf numFmtId="0" fontId="9" fillId="8" borderId="4" xfId="0" applyFont="1" applyFill="1" applyBorder="1" applyAlignment="1">
      <alignment vertical="center" wrapText="1"/>
    </xf>
    <xf numFmtId="44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left" vertical="center" wrapText="1"/>
    </xf>
    <xf numFmtId="0" fontId="5" fillId="17" borderId="4" xfId="0" applyFont="1" applyFill="1" applyBorder="1" applyAlignment="1">
      <alignment vertical="center" wrapText="1"/>
    </xf>
    <xf numFmtId="44" fontId="5" fillId="17" borderId="4" xfId="1" applyFont="1" applyFill="1" applyBorder="1" applyAlignment="1">
      <alignment horizontal="center" vertical="center" wrapText="1"/>
    </xf>
    <xf numFmtId="10" fontId="5" fillId="17" borderId="4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9" fillId="8" borderId="4" xfId="3" applyFont="1" applyFill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16" fillId="18" borderId="4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left" vertical="center" wrapText="1"/>
    </xf>
    <xf numFmtId="0" fontId="17" fillId="18" borderId="4" xfId="0" applyFont="1" applyFill="1" applyBorder="1" applyAlignment="1">
      <alignment vertical="center" wrapText="1"/>
    </xf>
    <xf numFmtId="44" fontId="16" fillId="18" borderId="4" xfId="1" applyFont="1" applyFill="1" applyBorder="1" applyAlignment="1">
      <alignment vertical="center" wrapText="1"/>
    </xf>
    <xf numFmtId="44" fontId="16" fillId="18" borderId="4" xfId="1" applyFont="1" applyFill="1" applyBorder="1" applyAlignment="1">
      <alignment horizontal="center" vertical="center"/>
    </xf>
    <xf numFmtId="44" fontId="16" fillId="4" borderId="4" xfId="1" applyFont="1" applyFill="1" applyBorder="1" applyAlignment="1">
      <alignment horizontal="center" vertical="center"/>
    </xf>
    <xf numFmtId="10" fontId="17" fillId="4" borderId="4" xfId="0" applyNumberFormat="1" applyFont="1" applyFill="1" applyBorder="1" applyAlignment="1">
      <alignment horizontal="center" vertical="center" wrapText="1"/>
    </xf>
    <xf numFmtId="44" fontId="17" fillId="18" borderId="4" xfId="1" applyFont="1" applyFill="1" applyBorder="1" applyAlignment="1">
      <alignment horizontal="center" vertical="center" wrapText="1"/>
    </xf>
    <xf numFmtId="44" fontId="18" fillId="18" borderId="4" xfId="1" applyFont="1" applyFill="1" applyBorder="1" applyAlignment="1">
      <alignment horizontal="center" vertical="center" wrapText="1"/>
    </xf>
    <xf numFmtId="44" fontId="17" fillId="15" borderId="4" xfId="1" applyFont="1" applyFill="1" applyBorder="1" applyAlignment="1">
      <alignment horizontal="center" vertical="center" wrapText="1"/>
    </xf>
    <xf numFmtId="44" fontId="19" fillId="15" borderId="0" xfId="1" applyFont="1" applyFill="1" applyAlignment="1">
      <alignment horizontal="center"/>
    </xf>
    <xf numFmtId="164" fontId="19" fillId="15" borderId="0" xfId="0" applyNumberFormat="1" applyFont="1" applyFill="1" applyAlignment="1">
      <alignment horizontal="center"/>
    </xf>
    <xf numFmtId="0" fontId="5" fillId="16" borderId="4" xfId="0" applyFont="1" applyFill="1" applyBorder="1" applyAlignment="1">
      <alignment horizontal="left" vertical="center" wrapText="1"/>
    </xf>
    <xf numFmtId="0" fontId="0" fillId="8" borderId="0" xfId="0" applyFont="1" applyFill="1" applyAlignment="1"/>
    <xf numFmtId="44" fontId="20" fillId="18" borderId="4" xfId="1" applyFont="1" applyFill="1" applyBorder="1" applyAlignment="1">
      <alignment horizontal="center" vertical="center" wrapText="1"/>
    </xf>
    <xf numFmtId="44" fontId="20" fillId="15" borderId="4" xfId="1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vertical="center" wrapText="1"/>
    </xf>
    <xf numFmtId="44" fontId="5" fillId="15" borderId="4" xfId="1" applyFont="1" applyFill="1" applyBorder="1" applyAlignment="1">
      <alignment horizontal="center" vertical="center"/>
    </xf>
    <xf numFmtId="44" fontId="21" fillId="15" borderId="4" xfId="1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 wrapText="1"/>
    </xf>
    <xf numFmtId="0" fontId="17" fillId="17" borderId="4" xfId="0" applyFont="1" applyFill="1" applyBorder="1" applyAlignment="1">
      <alignment vertical="center" wrapText="1"/>
    </xf>
    <xf numFmtId="44" fontId="17" fillId="17" borderId="4" xfId="1" applyFont="1" applyFill="1" applyBorder="1" applyAlignment="1">
      <alignment horizontal="center" vertical="center" wrapText="1"/>
    </xf>
    <xf numFmtId="10" fontId="17" fillId="17" borderId="4" xfId="0" applyNumberFormat="1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left" vertical="center" wrapText="1"/>
    </xf>
    <xf numFmtId="0" fontId="9" fillId="13" borderId="4" xfId="0" applyFont="1" applyFill="1" applyBorder="1" applyAlignment="1">
      <alignment vertical="center" wrapText="1"/>
    </xf>
    <xf numFmtId="44" fontId="9" fillId="19" borderId="4" xfId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vertical="center" wrapText="1"/>
    </xf>
    <xf numFmtId="44" fontId="5" fillId="10" borderId="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10" fontId="5" fillId="17" borderId="4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/>
    <xf numFmtId="164" fontId="9" fillId="4" borderId="4" xfId="1" applyNumberFormat="1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left" vertical="center" wrapText="1"/>
    </xf>
    <xf numFmtId="0" fontId="18" fillId="18" borderId="4" xfId="0" applyFont="1" applyFill="1" applyBorder="1" applyAlignment="1">
      <alignment vertical="center" wrapText="1"/>
    </xf>
    <xf numFmtId="0" fontId="0" fillId="20" borderId="4" xfId="3" applyFont="1" applyFill="1" applyBorder="1" applyAlignment="1"/>
    <xf numFmtId="0" fontId="11" fillId="8" borderId="4" xfId="0" applyFont="1" applyFill="1" applyBorder="1" applyAlignment="1">
      <alignment vertical="center" wrapText="1"/>
    </xf>
    <xf numFmtId="44" fontId="20" fillId="0" borderId="4" xfId="1" applyFont="1" applyBorder="1" applyAlignment="1">
      <alignment horizontal="center" vertical="center"/>
    </xf>
    <xf numFmtId="44" fontId="22" fillId="0" borderId="4" xfId="1" applyFont="1" applyBorder="1" applyAlignment="1">
      <alignment horizontal="right" vertical="center"/>
    </xf>
    <xf numFmtId="44" fontId="22" fillId="0" borderId="4" xfId="1" applyFont="1" applyBorder="1" applyAlignment="1">
      <alignment horizontal="center" vertical="center"/>
    </xf>
    <xf numFmtId="0" fontId="22" fillId="8" borderId="4" xfId="0" applyFont="1" applyFill="1" applyBorder="1" applyAlignment="1">
      <alignment vertical="center" wrapText="1"/>
    </xf>
    <xf numFmtId="44" fontId="22" fillId="10" borderId="4" xfId="1" applyFont="1" applyFill="1" applyBorder="1" applyAlignment="1">
      <alignment horizontal="center" vertical="center"/>
    </xf>
    <xf numFmtId="3" fontId="9" fillId="9" borderId="4" xfId="4" applyNumberFormat="1" applyFont="1" applyFill="1" applyBorder="1" applyAlignment="1">
      <alignment horizontal="left" vertical="center" wrapText="1"/>
    </xf>
    <xf numFmtId="0" fontId="14" fillId="9" borderId="4" xfId="4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44" fontId="23" fillId="0" borderId="4" xfId="1" applyFont="1" applyBorder="1" applyAlignment="1">
      <alignment horizontal="center" vertical="center"/>
    </xf>
    <xf numFmtId="44" fontId="14" fillId="0" borderId="4" xfId="1" applyFont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44" fontId="5" fillId="15" borderId="4" xfId="1" applyFont="1" applyFill="1" applyBorder="1" applyAlignment="1">
      <alignment horizontal="center" vertical="center" wrapText="1"/>
    </xf>
    <xf numFmtId="10" fontId="5" fillId="4" borderId="4" xfId="0" applyNumberFormat="1" applyFont="1" applyFill="1" applyBorder="1" applyAlignment="1">
      <alignment horizontal="center" vertical="center"/>
    </xf>
    <xf numFmtId="44" fontId="5" fillId="15" borderId="0" xfId="1" applyFont="1" applyFill="1" applyAlignment="1">
      <alignment horizontal="center"/>
    </xf>
    <xf numFmtId="10" fontId="5" fillId="15" borderId="0" xfId="0" applyNumberFormat="1" applyFont="1" applyFill="1" applyAlignment="1">
      <alignment horizontal="center"/>
    </xf>
    <xf numFmtId="0" fontId="17" fillId="17" borderId="4" xfId="0" applyFont="1" applyFill="1" applyBorder="1" applyAlignment="1">
      <alignment horizontal="left" vertical="center" wrapText="1"/>
    </xf>
    <xf numFmtId="44" fontId="5" fillId="0" borderId="0" xfId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vertical="center" wrapText="1"/>
    </xf>
    <xf numFmtId="44" fontId="24" fillId="2" borderId="4" xfId="1" applyFont="1" applyFill="1" applyBorder="1" applyAlignment="1">
      <alignment horizontal="center" vertical="center" wrapText="1"/>
    </xf>
    <xf numFmtId="44" fontId="24" fillId="4" borderId="4" xfId="1" applyFont="1" applyFill="1" applyBorder="1" applyAlignment="1">
      <alignment horizontal="center" vertical="center"/>
    </xf>
    <xf numFmtId="10" fontId="24" fillId="2" borderId="4" xfId="0" applyNumberFormat="1" applyFont="1" applyFill="1" applyBorder="1" applyAlignment="1">
      <alignment horizontal="center" vertical="center" wrapText="1"/>
    </xf>
    <xf numFmtId="44" fontId="24" fillId="0" borderId="0" xfId="1" applyFont="1" applyAlignment="1">
      <alignment horizontal="center"/>
    </xf>
    <xf numFmtId="10" fontId="24" fillId="0" borderId="0" xfId="0" applyNumberFormat="1" applyFont="1" applyAlignment="1">
      <alignment horizontal="center"/>
    </xf>
    <xf numFmtId="10" fontId="9" fillId="4" borderId="4" xfId="0" applyNumberFormat="1" applyFont="1" applyFill="1" applyBorder="1" applyAlignment="1">
      <alignment horizontal="center" vertical="center" wrapText="1"/>
    </xf>
    <xf numFmtId="44" fontId="24" fillId="3" borderId="4" xfId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vertical="center" wrapText="1"/>
    </xf>
    <xf numFmtId="44" fontId="24" fillId="4" borderId="4" xfId="1" applyFont="1" applyFill="1" applyBorder="1" applyAlignment="1">
      <alignment horizontal="center" vertical="center" wrapText="1"/>
    </xf>
    <xf numFmtId="44" fontId="26" fillId="3" borderId="4" xfId="1" applyFont="1" applyFill="1" applyBorder="1" applyAlignment="1">
      <alignment horizontal="center" vertical="center"/>
    </xf>
    <xf numFmtId="44" fontId="27" fillId="0" borderId="4" xfId="1" applyFont="1" applyBorder="1" applyAlignment="1">
      <alignment horizontal="center" vertical="center"/>
    </xf>
    <xf numFmtId="44" fontId="9" fillId="3" borderId="4" xfId="1" applyFont="1" applyFill="1" applyBorder="1" applyAlignment="1">
      <alignment horizontal="center" vertical="center"/>
    </xf>
    <xf numFmtId="0" fontId="24" fillId="17" borderId="4" xfId="0" applyFont="1" applyFill="1" applyBorder="1" applyAlignment="1">
      <alignment horizontal="center" vertical="center"/>
    </xf>
    <xf numFmtId="0" fontId="24" fillId="17" borderId="4" xfId="0" applyFont="1" applyFill="1" applyBorder="1" applyAlignment="1">
      <alignment horizontal="left" vertical="center" wrapText="1"/>
    </xf>
    <xf numFmtId="0" fontId="24" fillId="17" borderId="4" xfId="0" applyFont="1" applyFill="1" applyBorder="1" applyAlignment="1">
      <alignment vertical="center" wrapText="1"/>
    </xf>
    <xf numFmtId="44" fontId="24" fillId="17" borderId="4" xfId="1" applyFont="1" applyFill="1" applyBorder="1" applyAlignment="1">
      <alignment horizontal="center" vertical="center" wrapText="1"/>
    </xf>
    <xf numFmtId="10" fontId="24" fillId="17" borderId="4" xfId="0" applyNumberFormat="1" applyFont="1" applyFill="1" applyBorder="1" applyAlignment="1">
      <alignment horizontal="center" vertical="center" wrapText="1"/>
    </xf>
    <xf numFmtId="44" fontId="28" fillId="0" borderId="4" xfId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 wrapText="1"/>
    </xf>
    <xf numFmtId="44" fontId="17" fillId="3" borderId="4" xfId="1" applyFont="1" applyFill="1" applyBorder="1" applyAlignment="1">
      <alignment horizontal="center" vertical="center" wrapText="1"/>
    </xf>
    <xf numFmtId="10" fontId="17" fillId="3" borderId="4" xfId="0" applyNumberFormat="1" applyFont="1" applyFill="1" applyBorder="1" applyAlignment="1">
      <alignment horizontal="center" vertical="center" wrapText="1"/>
    </xf>
    <xf numFmtId="44" fontId="26" fillId="4" borderId="4" xfId="1" applyFont="1" applyFill="1" applyBorder="1" applyAlignment="1">
      <alignment horizontal="center" vertical="center"/>
    </xf>
    <xf numFmtId="10" fontId="24" fillId="2" borderId="4" xfId="0" applyNumberFormat="1" applyFont="1" applyFill="1" applyBorder="1" applyAlignment="1">
      <alignment horizontal="center" vertical="center"/>
    </xf>
    <xf numFmtId="44" fontId="29" fillId="10" borderId="4" xfId="1" applyFont="1" applyFill="1" applyBorder="1" applyAlignment="1">
      <alignment horizontal="center" vertical="center"/>
    </xf>
    <xf numFmtId="0" fontId="9" fillId="9" borderId="4" xfId="4" applyFont="1" applyFill="1" applyBorder="1" applyAlignment="1">
      <alignment vertical="center" wrapText="1"/>
    </xf>
    <xf numFmtId="44" fontId="30" fillId="0" borderId="4" xfId="1" applyFont="1" applyBorder="1" applyAlignment="1">
      <alignment horizontal="center" vertical="center"/>
    </xf>
    <xf numFmtId="44" fontId="31" fillId="0" borderId="4" xfId="1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vertical="center" wrapText="1"/>
    </xf>
    <xf numFmtId="44" fontId="24" fillId="3" borderId="4" xfId="1" applyFont="1" applyFill="1" applyBorder="1" applyAlignment="1">
      <alignment horizontal="center" vertical="center" wrapText="1"/>
    </xf>
    <xf numFmtId="10" fontId="24" fillId="3" borderId="4" xfId="0" applyNumberFormat="1" applyFont="1" applyFill="1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11" fillId="10" borderId="0" xfId="0" applyFont="1" applyFill="1" applyAlignment="1">
      <alignment horizontal="left" vertical="center"/>
    </xf>
    <xf numFmtId="0" fontId="11" fillId="1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left" vertical="center"/>
    </xf>
    <xf numFmtId="0" fontId="25" fillId="10" borderId="0" xfId="0" applyFont="1" applyFill="1"/>
    <xf numFmtId="4" fontId="11" fillId="0" borderId="0" xfId="0" applyNumberFormat="1" applyFont="1" applyAlignment="1">
      <alignment vertical="center"/>
    </xf>
    <xf numFmtId="0" fontId="33" fillId="10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0" fontId="25" fillId="0" borderId="0" xfId="0" applyNumberFormat="1" applyFont="1"/>
    <xf numFmtId="164" fontId="5" fillId="22" borderId="4" xfId="0" applyNumberFormat="1" applyFont="1" applyFill="1" applyBorder="1" applyAlignment="1">
      <alignment horizontal="center" vertical="center"/>
    </xf>
    <xf numFmtId="0" fontId="3" fillId="12" borderId="4" xfId="0" applyFont="1" applyFill="1" applyBorder="1"/>
    <xf numFmtId="164" fontId="5" fillId="22" borderId="4" xfId="0" applyNumberFormat="1" applyFont="1" applyFill="1" applyBorder="1" applyAlignment="1">
      <alignment horizontal="center" vertical="center"/>
    </xf>
    <xf numFmtId="44" fontId="5" fillId="22" borderId="4" xfId="1" applyFont="1" applyFill="1" applyBorder="1" applyAlignment="1">
      <alignment horizontal="center" vertical="center"/>
    </xf>
    <xf numFmtId="0" fontId="9" fillId="21" borderId="4" xfId="0" applyFont="1" applyFill="1" applyBorder="1" applyAlignment="1">
      <alignment horizontal="left" vertical="center" wrapText="1"/>
    </xf>
    <xf numFmtId="0" fontId="9" fillId="23" borderId="4" xfId="3" applyFont="1" applyFill="1" applyBorder="1" applyAlignment="1">
      <alignment vertical="center" wrapText="1"/>
    </xf>
    <xf numFmtId="3" fontId="9" fillId="23" borderId="4" xfId="3" applyNumberFormat="1" applyFont="1" applyFill="1" applyBorder="1" applyAlignment="1">
      <alignment horizontal="left" vertical="center" wrapText="1"/>
    </xf>
    <xf numFmtId="0" fontId="11" fillId="23" borderId="4" xfId="3" applyFont="1" applyFill="1" applyBorder="1" applyAlignment="1">
      <alignment horizontal="left" vertical="center" wrapText="1"/>
    </xf>
    <xf numFmtId="0" fontId="11" fillId="23" borderId="4" xfId="3" applyFont="1" applyFill="1" applyBorder="1" applyAlignment="1">
      <alignment vertical="center" wrapText="1"/>
    </xf>
    <xf numFmtId="0" fontId="14" fillId="23" borderId="4" xfId="3" applyFont="1" applyFill="1" applyBorder="1" applyAlignment="1">
      <alignment vertical="center" wrapText="1"/>
    </xf>
    <xf numFmtId="0" fontId="13" fillId="23" borderId="4" xfId="3" applyFont="1" applyFill="1" applyBorder="1" applyAlignment="1">
      <alignment vertical="center" wrapText="1"/>
    </xf>
    <xf numFmtId="0" fontId="9" fillId="21" borderId="4" xfId="3" applyFont="1" applyFill="1" applyBorder="1" applyAlignment="1">
      <alignment horizontal="left" vertical="center" wrapText="1"/>
    </xf>
    <xf numFmtId="0" fontId="9" fillId="21" borderId="4" xfId="3" applyFont="1" applyFill="1" applyBorder="1" applyAlignment="1">
      <alignment vertical="center" wrapText="1"/>
    </xf>
    <xf numFmtId="0" fontId="9" fillId="21" borderId="4" xfId="0" applyFont="1" applyFill="1" applyBorder="1" applyAlignment="1">
      <alignment vertical="center" wrapText="1"/>
    </xf>
    <xf numFmtId="3" fontId="9" fillId="23" borderId="4" xfId="4" applyNumberFormat="1" applyFont="1" applyFill="1" applyBorder="1" applyAlignment="1">
      <alignment horizontal="left" vertical="center" wrapText="1"/>
    </xf>
    <xf numFmtId="0" fontId="14" fillId="23" borderId="4" xfId="4" applyFont="1" applyFill="1" applyBorder="1" applyAlignment="1">
      <alignment vertical="center" wrapText="1"/>
    </xf>
    <xf numFmtId="0" fontId="9" fillId="24" borderId="4" xfId="3" applyFont="1" applyFill="1" applyBorder="1" applyAlignment="1">
      <alignment horizontal="left" vertical="center" wrapText="1"/>
    </xf>
    <xf numFmtId="0" fontId="25" fillId="21" borderId="4" xfId="3" applyFont="1" applyFill="1" applyBorder="1" applyAlignment="1"/>
    <xf numFmtId="0" fontId="9" fillId="23" borderId="4" xfId="0" applyFont="1" applyFill="1" applyBorder="1" applyAlignment="1">
      <alignment vertical="center" wrapText="1"/>
    </xf>
    <xf numFmtId="0" fontId="9" fillId="23" borderId="4" xfId="4" applyFont="1" applyFill="1" applyBorder="1" applyAlignment="1">
      <alignment vertical="center" wrapText="1"/>
    </xf>
    <xf numFmtId="0" fontId="5" fillId="21" borderId="4" xfId="0" applyFont="1" applyFill="1" applyBorder="1" applyAlignment="1">
      <alignment vertical="center" wrapText="1"/>
    </xf>
  </cellXfs>
  <cellStyles count="9">
    <cellStyle name="Moeda" xfId="1" builtinId="4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Porcentagem" xfId="2" builtinId="5"/>
    <cellStyle name="Vírgula 2" xfId="8"/>
  </cellStyles>
  <dxfs count="1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993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25" sqref="M25"/>
    </sheetView>
  </sheetViews>
  <sheetFormatPr defaultColWidth="14.42578125" defaultRowHeight="15" customHeight="1" x14ac:dyDescent="0.25"/>
  <cols>
    <col min="1" max="1" width="14.85546875" style="14" hidden="1" customWidth="1"/>
    <col min="2" max="2" width="14.7109375" style="14" hidden="1" customWidth="1"/>
    <col min="3" max="3" width="14.85546875" style="197" customWidth="1"/>
    <col min="4" max="4" width="66.140625" style="14" customWidth="1"/>
    <col min="5" max="5" width="16.28515625" style="14" customWidth="1"/>
    <col min="6" max="6" width="17.5703125" style="14" customWidth="1"/>
    <col min="7" max="7" width="15" style="14" customWidth="1"/>
    <col min="8" max="8" width="18.28515625" style="14" customWidth="1"/>
    <col min="9" max="9" width="17.42578125" style="14" customWidth="1"/>
    <col min="10" max="10" width="18.42578125" style="14" customWidth="1"/>
    <col min="11" max="11" width="16.7109375" style="14" customWidth="1"/>
    <col min="12" max="12" width="15.5703125" style="14" customWidth="1"/>
    <col min="13" max="13" width="19.140625" style="14" customWidth="1"/>
    <col min="14" max="14" width="15.5703125" style="14" customWidth="1"/>
    <col min="15" max="15" width="23.5703125" style="14" hidden="1" customWidth="1"/>
    <col min="16" max="16" width="18.140625" style="14" hidden="1" customWidth="1"/>
    <col min="17" max="17" width="16.7109375" style="14" hidden="1" customWidth="1"/>
    <col min="18" max="18" width="12.28515625" style="14" hidden="1" customWidth="1"/>
    <col min="19" max="19" width="11.42578125" style="14" hidden="1" customWidth="1"/>
    <col min="20" max="20" width="12.140625" style="14" hidden="1" customWidth="1"/>
    <col min="21" max="21" width="16" style="14" hidden="1" customWidth="1"/>
    <col min="22" max="25" width="15.7109375" style="14" hidden="1" customWidth="1"/>
    <col min="26" max="26" width="16.85546875" style="14" hidden="1" customWidth="1"/>
    <col min="27" max="28" width="15.7109375" style="14" hidden="1" customWidth="1"/>
    <col min="29" max="29" width="16.42578125" style="14" hidden="1" customWidth="1"/>
    <col min="30" max="31" width="15.7109375" style="14" hidden="1" customWidth="1"/>
    <col min="32" max="32" width="17.7109375" style="14" hidden="1" customWidth="1"/>
    <col min="33" max="34" width="15.7109375" style="14" hidden="1" customWidth="1"/>
    <col min="35" max="35" width="14.7109375" style="14" hidden="1" customWidth="1"/>
    <col min="36" max="59" width="15.7109375" style="14" hidden="1" customWidth="1"/>
    <col min="60" max="16384" width="14.42578125" style="14"/>
  </cols>
  <sheetData>
    <row r="1" spans="1:64" ht="44.25" customHeight="1" x14ac:dyDescent="0.25">
      <c r="A1" s="1"/>
      <c r="B1" s="2"/>
      <c r="C1" s="3" t="s">
        <v>0</v>
      </c>
      <c r="D1" s="4"/>
      <c r="E1" s="199" t="s">
        <v>1</v>
      </c>
      <c r="F1" s="200"/>
      <c r="G1" s="200"/>
      <c r="H1" s="200"/>
      <c r="I1" s="5" t="s">
        <v>2</v>
      </c>
      <c r="J1" s="6"/>
      <c r="K1" s="6"/>
      <c r="L1" s="7" t="s">
        <v>3</v>
      </c>
      <c r="M1" s="8"/>
      <c r="N1" s="9"/>
      <c r="O1" s="5" t="s">
        <v>4</v>
      </c>
      <c r="P1" s="6"/>
      <c r="Q1" s="6"/>
      <c r="R1" s="10" t="s">
        <v>5</v>
      </c>
      <c r="S1" s="6"/>
      <c r="T1" s="6"/>
      <c r="U1" s="11" t="s">
        <v>6</v>
      </c>
      <c r="V1" s="12"/>
      <c r="W1" s="12"/>
      <c r="X1" s="11" t="s">
        <v>7</v>
      </c>
      <c r="Y1" s="12"/>
      <c r="Z1" s="12"/>
      <c r="AA1" s="11" t="s">
        <v>8</v>
      </c>
      <c r="AB1" s="12"/>
      <c r="AC1" s="12"/>
      <c r="AD1" s="11" t="s">
        <v>9</v>
      </c>
      <c r="AE1" s="12"/>
      <c r="AF1" s="12"/>
      <c r="AG1" s="11" t="s">
        <v>10</v>
      </c>
      <c r="AH1" s="12"/>
      <c r="AI1" s="12"/>
      <c r="AJ1" s="11" t="s">
        <v>11</v>
      </c>
      <c r="AK1" s="12"/>
      <c r="AL1" s="12"/>
      <c r="AM1" s="11" t="s">
        <v>12</v>
      </c>
      <c r="AN1" s="12"/>
      <c r="AO1" s="12"/>
      <c r="AP1" s="11" t="s">
        <v>13</v>
      </c>
      <c r="AQ1" s="12"/>
      <c r="AR1" s="12"/>
      <c r="AS1" s="11" t="s">
        <v>14</v>
      </c>
      <c r="AT1" s="12"/>
      <c r="AU1" s="12"/>
      <c r="AV1" s="11" t="s">
        <v>15</v>
      </c>
      <c r="AW1" s="12"/>
      <c r="AX1" s="12"/>
      <c r="AY1" s="11" t="s">
        <v>16</v>
      </c>
      <c r="AZ1" s="12"/>
      <c r="BA1" s="12"/>
      <c r="BB1" s="11" t="s">
        <v>17</v>
      </c>
      <c r="BC1" s="12"/>
      <c r="BD1" s="12"/>
      <c r="BE1" s="11" t="s">
        <v>18</v>
      </c>
      <c r="BF1" s="12"/>
      <c r="BG1" s="12"/>
      <c r="BH1" s="13"/>
      <c r="BI1" s="13"/>
      <c r="BJ1" s="13"/>
      <c r="BK1" s="13"/>
      <c r="BL1" s="13"/>
    </row>
    <row r="2" spans="1:64" ht="45.75" customHeight="1" x14ac:dyDescent="0.25">
      <c r="A2" s="15" t="s">
        <v>19</v>
      </c>
      <c r="B2" s="2"/>
      <c r="C2" s="15" t="s">
        <v>19</v>
      </c>
      <c r="D2" s="16" t="s">
        <v>20</v>
      </c>
      <c r="E2" s="201" t="s">
        <v>21</v>
      </c>
      <c r="F2" s="201" t="s">
        <v>22</v>
      </c>
      <c r="G2" s="201" t="s">
        <v>23</v>
      </c>
      <c r="H2" s="201" t="s">
        <v>24</v>
      </c>
      <c r="I2" s="17" t="s">
        <v>21</v>
      </c>
      <c r="J2" s="17" t="s">
        <v>22</v>
      </c>
      <c r="K2" s="17" t="s">
        <v>24</v>
      </c>
      <c r="L2" s="18" t="s">
        <v>21</v>
      </c>
      <c r="M2" s="18" t="s">
        <v>22</v>
      </c>
      <c r="N2" s="18" t="s">
        <v>24</v>
      </c>
      <c r="O2" s="17" t="s">
        <v>25</v>
      </c>
      <c r="P2" s="17" t="s">
        <v>22</v>
      </c>
      <c r="Q2" s="17" t="s">
        <v>26</v>
      </c>
      <c r="R2" s="19" t="s">
        <v>27</v>
      </c>
      <c r="S2" s="20" t="s">
        <v>22</v>
      </c>
      <c r="T2" s="19" t="s">
        <v>28</v>
      </c>
      <c r="U2" s="21" t="s">
        <v>21</v>
      </c>
      <c r="V2" s="21" t="s">
        <v>22</v>
      </c>
      <c r="W2" s="21" t="s">
        <v>24</v>
      </c>
      <c r="X2" s="21" t="s">
        <v>21</v>
      </c>
      <c r="Y2" s="21" t="s">
        <v>22</v>
      </c>
      <c r="Z2" s="21" t="s">
        <v>24</v>
      </c>
      <c r="AA2" s="21" t="s">
        <v>21</v>
      </c>
      <c r="AB2" s="21" t="s">
        <v>22</v>
      </c>
      <c r="AC2" s="21" t="s">
        <v>24</v>
      </c>
      <c r="AD2" s="21" t="s">
        <v>21</v>
      </c>
      <c r="AE2" s="21" t="s">
        <v>22</v>
      </c>
      <c r="AF2" s="21" t="s">
        <v>24</v>
      </c>
      <c r="AG2" s="21" t="s">
        <v>21</v>
      </c>
      <c r="AH2" s="21" t="s">
        <v>22</v>
      </c>
      <c r="AI2" s="21" t="s">
        <v>24</v>
      </c>
      <c r="AJ2" s="21" t="s">
        <v>21</v>
      </c>
      <c r="AK2" s="21" t="s">
        <v>22</v>
      </c>
      <c r="AL2" s="21" t="s">
        <v>24</v>
      </c>
      <c r="AM2" s="21" t="s">
        <v>21</v>
      </c>
      <c r="AN2" s="21" t="s">
        <v>22</v>
      </c>
      <c r="AO2" s="21" t="s">
        <v>24</v>
      </c>
      <c r="AP2" s="21" t="s">
        <v>21</v>
      </c>
      <c r="AQ2" s="21" t="s">
        <v>22</v>
      </c>
      <c r="AR2" s="21" t="s">
        <v>24</v>
      </c>
      <c r="AS2" s="21" t="s">
        <v>21</v>
      </c>
      <c r="AT2" s="21" t="s">
        <v>22</v>
      </c>
      <c r="AU2" s="21" t="s">
        <v>24</v>
      </c>
      <c r="AV2" s="21" t="s">
        <v>21</v>
      </c>
      <c r="AW2" s="21" t="s">
        <v>22</v>
      </c>
      <c r="AX2" s="21" t="s">
        <v>24</v>
      </c>
      <c r="AY2" s="21" t="s">
        <v>21</v>
      </c>
      <c r="AZ2" s="21" t="s">
        <v>22</v>
      </c>
      <c r="BA2" s="21" t="s">
        <v>24</v>
      </c>
      <c r="BB2" s="21" t="s">
        <v>21</v>
      </c>
      <c r="BC2" s="21" t="s">
        <v>22</v>
      </c>
      <c r="BD2" s="21" t="s">
        <v>24</v>
      </c>
      <c r="BE2" s="21" t="s">
        <v>21</v>
      </c>
      <c r="BF2" s="21" t="s">
        <v>22</v>
      </c>
      <c r="BG2" s="21" t="s">
        <v>24</v>
      </c>
      <c r="BH2" s="13"/>
      <c r="BI2" s="13"/>
      <c r="BJ2" s="13"/>
      <c r="BK2" s="13"/>
      <c r="BL2" s="13"/>
    </row>
    <row r="3" spans="1:64" ht="21" x14ac:dyDescent="0.25">
      <c r="A3" s="22" t="s">
        <v>29</v>
      </c>
      <c r="B3" s="23" t="s">
        <v>30</v>
      </c>
      <c r="C3" s="24" t="s">
        <v>31</v>
      </c>
      <c r="D3" s="22" t="s">
        <v>32</v>
      </c>
      <c r="E3" s="202">
        <f>E4+E6+E46+E76+E129</f>
        <v>960196.25999999989</v>
      </c>
      <c r="F3" s="202">
        <f>F4+F6+F46+F76+F129</f>
        <v>2340309.29</v>
      </c>
      <c r="G3" s="202">
        <f>G4+G6+G46+G76+G129</f>
        <v>6706.7800000000007</v>
      </c>
      <c r="H3" s="202">
        <f>H4+H6+H46+H76+H129</f>
        <v>142873.54999999999</v>
      </c>
      <c r="I3" s="25">
        <f>I4+I6+I46+I76+I129</f>
        <v>418415.23</v>
      </c>
      <c r="J3" s="25">
        <f>J4+J6+J46+J76+J129</f>
        <v>1757020.1300000001</v>
      </c>
      <c r="K3" s="25">
        <f>K4+K6+K46+K76+K129</f>
        <v>39920</v>
      </c>
      <c r="L3" s="26">
        <f t="shared" ref="L3:N5" si="0">IF(BE3=0,SUM(U3+X3+AA3+AD3+AG3+AJ3+AM3+AP3+AS3+AV3+AY3+BB3),BE3)</f>
        <v>418415.23</v>
      </c>
      <c r="M3" s="26">
        <f t="shared" si="0"/>
        <v>1757020.13</v>
      </c>
      <c r="N3" s="18">
        <f t="shared" si="0"/>
        <v>39920</v>
      </c>
      <c r="O3" s="17">
        <f>O4+O6+O46+O76+O129</f>
        <v>514951.02999999997</v>
      </c>
      <c r="P3" s="17">
        <f>P4+P6+P46+P76+P129</f>
        <v>576582.38</v>
      </c>
      <c r="Q3" s="17">
        <f>Q4+Q6+Q46+Q76+Q129</f>
        <v>102953.54999999999</v>
      </c>
      <c r="R3" s="20">
        <f t="shared" ref="R3:S18" si="1">I3/E3</f>
        <v>0.43576011220872701</v>
      </c>
      <c r="S3" s="20">
        <f t="shared" si="1"/>
        <v>0.75076407101729703</v>
      </c>
      <c r="T3" s="20">
        <f t="shared" ref="T3:T66" si="2">K3/H3</f>
        <v>0.27940791000153636</v>
      </c>
      <c r="U3" s="27">
        <f>U4+U6+U46+U76+U129</f>
        <v>27.08</v>
      </c>
      <c r="V3" s="27">
        <f>V4+V6+V46+V76+V129</f>
        <v>82979.189999999988</v>
      </c>
      <c r="W3" s="27">
        <f>W4+W6+W46+W76+W129</f>
        <v>0</v>
      </c>
      <c r="X3" s="27">
        <f>X4+X6+X46+X76+X129</f>
        <v>3450.05</v>
      </c>
      <c r="Y3" s="27">
        <f>Y4+Y6+Y46+Y76+Y129</f>
        <v>139830.27000000002</v>
      </c>
      <c r="Z3" s="27">
        <f>Z4+Z6+Z46+Z76+Z129</f>
        <v>0</v>
      </c>
      <c r="AA3" s="27">
        <f>AA4+AA6+AA46+AA76+AA129</f>
        <v>57131.609999999993</v>
      </c>
      <c r="AB3" s="27">
        <f>AB4+AB6+AB46+AB76+AB129</f>
        <v>344883.05</v>
      </c>
      <c r="AC3" s="27">
        <f>AC4+AC6+AC46+AC76+AC129</f>
        <v>0</v>
      </c>
      <c r="AD3" s="27">
        <f>AD4+AD6+AD46+AD76+AD129</f>
        <v>54225.499999999993</v>
      </c>
      <c r="AE3" s="27">
        <f>AE4+AE6+AE46+AE76+AE129</f>
        <v>470977.24</v>
      </c>
      <c r="AF3" s="27">
        <f>AF4+AF6+AF46+AF76+AF129</f>
        <v>11360</v>
      </c>
      <c r="AG3" s="27">
        <f>AG4+AG6+AG46+AG76+AG129</f>
        <v>118041.46</v>
      </c>
      <c r="AH3" s="27">
        <f>AH4+AH6+AH46+AH76+AH129</f>
        <v>176628.82</v>
      </c>
      <c r="AI3" s="27">
        <f>AI4+AI6+AI46+AI76+AI129</f>
        <v>13760</v>
      </c>
      <c r="AJ3" s="27">
        <f>AJ4+AJ6+AJ46+AJ76+AJ129</f>
        <v>101219.86</v>
      </c>
      <c r="AK3" s="27">
        <f>AK4+AK6+AK46+AK76+AK129</f>
        <v>301272.18</v>
      </c>
      <c r="AL3" s="27">
        <f>AL4+AL6+AL46+AL76+AL129</f>
        <v>14800</v>
      </c>
      <c r="AM3" s="27">
        <f>AM4+AM6+AM46+AM76+AM129</f>
        <v>84319.670000000013</v>
      </c>
      <c r="AN3" s="27">
        <f>AN4+AN6+AN46+AN76+AN129</f>
        <v>240449.38</v>
      </c>
      <c r="AO3" s="27">
        <f>AO4+AO6+AO46+AO76+AO129</f>
        <v>0</v>
      </c>
      <c r="AP3" s="27">
        <f>AP4+AP6+AP46+AP76+AP129</f>
        <v>0</v>
      </c>
      <c r="AQ3" s="27">
        <f>AQ4+AQ6+AQ46+AQ76+AQ129</f>
        <v>0</v>
      </c>
      <c r="AR3" s="27">
        <f>AR4+AR6+AR46+AR76+AR129</f>
        <v>0</v>
      </c>
      <c r="AS3" s="27">
        <f>AS4+AS6+AS46+AS76+AS129</f>
        <v>0</v>
      </c>
      <c r="AT3" s="27">
        <f>AT4+AT6+AT46+AT76+AT129</f>
        <v>0</v>
      </c>
      <c r="AU3" s="27">
        <f>AU4+AU6+AU46+AU76+AU129</f>
        <v>0</v>
      </c>
      <c r="AV3" s="27">
        <f>AV4+AV6+AV46+AV76+AV129</f>
        <v>0</v>
      </c>
      <c r="AW3" s="27">
        <f>AW4+AW6+AW46+AW76+AW129</f>
        <v>0</v>
      </c>
      <c r="AX3" s="27">
        <f>AX4+AX6+AX46+AX76+AX129</f>
        <v>0</v>
      </c>
      <c r="AY3" s="27">
        <f>AY4+AY6+AY46+AY76+AY129</f>
        <v>0</v>
      </c>
      <c r="AZ3" s="27">
        <f>AZ4+AZ6+AZ46+AZ76+AZ129</f>
        <v>0</v>
      </c>
      <c r="BA3" s="27">
        <f>BA4+BA6+BA46+BA76+BA129</f>
        <v>0</v>
      </c>
      <c r="BB3" s="27">
        <f>BB4+BB6+BB46+BB76+BB129</f>
        <v>0</v>
      </c>
      <c r="BC3" s="27">
        <f>BC4+BC6+BC46+BC76+BC129</f>
        <v>0</v>
      </c>
      <c r="BD3" s="27">
        <f>BD4+BD6+BD46+BD76+BD129</f>
        <v>0</v>
      </c>
      <c r="BE3" s="27">
        <f>BE4+BE6+BE46+BE76+BE129</f>
        <v>0</v>
      </c>
      <c r="BF3" s="27">
        <f>BF4+BF6+BF46+BF76+BF129</f>
        <v>0</v>
      </c>
      <c r="BG3" s="27">
        <f>BG4+BG6+BG46+BG76+BG129</f>
        <v>0</v>
      </c>
      <c r="BH3" s="28"/>
      <c r="BI3" s="29"/>
      <c r="BJ3" s="29"/>
      <c r="BK3" s="29"/>
      <c r="BL3" s="29"/>
    </row>
    <row r="4" spans="1:64" ht="21" x14ac:dyDescent="0.25">
      <c r="A4" s="30"/>
      <c r="B4" s="30" t="s">
        <v>33</v>
      </c>
      <c r="C4" s="31"/>
      <c r="D4" s="30" t="s">
        <v>33</v>
      </c>
      <c r="E4" s="32">
        <f>SUM(E5:E5)</f>
        <v>1000</v>
      </c>
      <c r="F4" s="32">
        <f>SUM(F5:F5)</f>
        <v>0</v>
      </c>
      <c r="G4" s="32"/>
      <c r="H4" s="32">
        <f>SUM(H5:H5)</f>
        <v>0</v>
      </c>
      <c r="I4" s="32">
        <f>SUM(I5:I5)</f>
        <v>344.64</v>
      </c>
      <c r="J4" s="32">
        <f>SUM(J5:J5)</f>
        <v>0</v>
      </c>
      <c r="K4" s="32">
        <f>SUM(K5:K5)</f>
        <v>0</v>
      </c>
      <c r="L4" s="32">
        <f t="shared" si="0"/>
        <v>344.64</v>
      </c>
      <c r="M4" s="32">
        <f t="shared" si="0"/>
        <v>0</v>
      </c>
      <c r="N4" s="32">
        <f t="shared" si="0"/>
        <v>0</v>
      </c>
      <c r="O4" s="32">
        <f>SUM(O5:O5)</f>
        <v>655.36</v>
      </c>
      <c r="P4" s="32">
        <f>SUM(P5:P5)</f>
        <v>0</v>
      </c>
      <c r="Q4" s="32">
        <f>SUM(Q5:Q5)</f>
        <v>0</v>
      </c>
      <c r="R4" s="32">
        <f t="shared" si="1"/>
        <v>0.34464</v>
      </c>
      <c r="S4" s="33" t="e">
        <f t="shared" si="1"/>
        <v>#DIV/0!</v>
      </c>
      <c r="T4" s="33" t="e">
        <f t="shared" si="2"/>
        <v>#DIV/0!</v>
      </c>
      <c r="U4" s="32">
        <f>SUM(U5:U5)</f>
        <v>0</v>
      </c>
      <c r="V4" s="32">
        <f>SUM(V5:V5)</f>
        <v>0</v>
      </c>
      <c r="W4" s="32">
        <f>SUM(W5:W5)</f>
        <v>0</v>
      </c>
      <c r="X4" s="32">
        <f>SUM(X5:X5)</f>
        <v>0</v>
      </c>
      <c r="Y4" s="32">
        <f>SUM(Y5:Y5)</f>
        <v>0</v>
      </c>
      <c r="Z4" s="32">
        <f>SUM(Z5:Z5)</f>
        <v>0</v>
      </c>
      <c r="AA4" s="32">
        <f>SUM(AA5:AA5)</f>
        <v>0</v>
      </c>
      <c r="AB4" s="32">
        <f>SUM(AB5:AB5)</f>
        <v>0</v>
      </c>
      <c r="AC4" s="32">
        <f>SUM(AC5:AC5)</f>
        <v>0</v>
      </c>
      <c r="AD4" s="32">
        <f>SUM(AD5:AD5)</f>
        <v>0</v>
      </c>
      <c r="AE4" s="32">
        <f>SUM(AE5:AE5)</f>
        <v>0</v>
      </c>
      <c r="AF4" s="32">
        <f>SUM(AF5:AF5)</f>
        <v>0</v>
      </c>
      <c r="AG4" s="32">
        <f>SUM(AG5:AG5)</f>
        <v>0</v>
      </c>
      <c r="AH4" s="32">
        <f>SUM(AH5:AH5)</f>
        <v>0</v>
      </c>
      <c r="AI4" s="32">
        <f>SUM(AI5:AI5)</f>
        <v>0</v>
      </c>
      <c r="AJ4" s="32">
        <f>SUM(AJ5:AJ5)</f>
        <v>344.64</v>
      </c>
      <c r="AK4" s="32">
        <f>SUM(AK5:AK5)</f>
        <v>0</v>
      </c>
      <c r="AL4" s="32">
        <f>SUM(AL5:AL5)</f>
        <v>0</v>
      </c>
      <c r="AM4" s="32">
        <f>SUM(AM5:AM5)</f>
        <v>0</v>
      </c>
      <c r="AN4" s="32">
        <f>SUM(AN5:AN5)</f>
        <v>0</v>
      </c>
      <c r="AO4" s="32">
        <f>SUM(AO5:AO5)</f>
        <v>0</v>
      </c>
      <c r="AP4" s="32">
        <f>SUM(AP5:AP5)</f>
        <v>0</v>
      </c>
      <c r="AQ4" s="32">
        <f>SUM(AQ5:AQ5)</f>
        <v>0</v>
      </c>
      <c r="AR4" s="32">
        <f>SUM(AR5:AR5)</f>
        <v>0</v>
      </c>
      <c r="AS4" s="32">
        <f>SUM(AS5:AS5)</f>
        <v>0</v>
      </c>
      <c r="AT4" s="32">
        <f>SUM(AT5:AT5)</f>
        <v>0</v>
      </c>
      <c r="AU4" s="32">
        <f>SUM(AU5:AU5)</f>
        <v>0</v>
      </c>
      <c r="AV4" s="32">
        <f>SUM(AV5:AV5)</f>
        <v>0</v>
      </c>
      <c r="AW4" s="32">
        <f>SUM(AW5:AW5)</f>
        <v>0</v>
      </c>
      <c r="AX4" s="32">
        <f>SUM(AX5:AX5)</f>
        <v>0</v>
      </c>
      <c r="AY4" s="32">
        <f>SUM(AY5:AY5)</f>
        <v>0</v>
      </c>
      <c r="AZ4" s="32">
        <f>SUM(AZ5:AZ5)</f>
        <v>0</v>
      </c>
      <c r="BA4" s="32">
        <f>SUM(BA5:BA5)</f>
        <v>0</v>
      </c>
      <c r="BB4" s="32">
        <f>SUM(BB5:BB5)</f>
        <v>0</v>
      </c>
      <c r="BC4" s="32">
        <f>SUM(BC5:BC5)</f>
        <v>0</v>
      </c>
      <c r="BD4" s="32">
        <f>SUM(BD5:BD5)</f>
        <v>0</v>
      </c>
      <c r="BE4" s="32">
        <f>SUM(BE5:BE5)</f>
        <v>0</v>
      </c>
      <c r="BF4" s="32">
        <f>SUM(BF5:BF5)</f>
        <v>0</v>
      </c>
      <c r="BG4" s="32">
        <f>SUM(BG5:BG5)</f>
        <v>0</v>
      </c>
      <c r="BH4" s="28"/>
      <c r="BI4" s="29"/>
      <c r="BJ4" s="29"/>
      <c r="BK4" s="29"/>
      <c r="BL4" s="29"/>
    </row>
    <row r="5" spans="1:64" ht="15.75" x14ac:dyDescent="0.25">
      <c r="A5" s="34"/>
      <c r="B5" s="34"/>
      <c r="C5" s="203" t="s">
        <v>34</v>
      </c>
      <c r="D5" s="204" t="s">
        <v>35</v>
      </c>
      <c r="E5" s="37">
        <v>1000</v>
      </c>
      <c r="F5" s="37"/>
      <c r="G5" s="37"/>
      <c r="H5" s="38"/>
      <c r="I5" s="39">
        <f t="shared" ref="I5:K5" si="3">U5+X5+AA5+AD5+AG5+AJ5+AM5+AP5+AS5+AV5+AY5+BB5</f>
        <v>344.64</v>
      </c>
      <c r="J5" s="39">
        <f t="shared" si="3"/>
        <v>0</v>
      </c>
      <c r="K5" s="39">
        <f t="shared" si="3"/>
        <v>0</v>
      </c>
      <c r="L5" s="39">
        <f t="shared" si="0"/>
        <v>344.64</v>
      </c>
      <c r="M5" s="39">
        <f t="shared" si="0"/>
        <v>0</v>
      </c>
      <c r="N5" s="39">
        <f t="shared" si="0"/>
        <v>0</v>
      </c>
      <c r="O5" s="39">
        <f>E5-I5</f>
        <v>655.36</v>
      </c>
      <c r="P5" s="39">
        <f>F5-J5</f>
        <v>0</v>
      </c>
      <c r="Q5" s="39">
        <f t="shared" ref="Q5" si="4">H5-K5</f>
        <v>0</v>
      </c>
      <c r="R5" s="40">
        <f t="shared" si="1"/>
        <v>0.34464</v>
      </c>
      <c r="S5" s="41" t="e">
        <f t="shared" si="1"/>
        <v>#DIV/0!</v>
      </c>
      <c r="T5" s="41" t="e">
        <f t="shared" si="2"/>
        <v>#DIV/0!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>
        <f>67.68+276.96</f>
        <v>344.64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42"/>
      <c r="BI5" s="43"/>
      <c r="BJ5" s="43"/>
      <c r="BK5" s="43"/>
      <c r="BL5" s="43"/>
    </row>
    <row r="6" spans="1:64" ht="21" x14ac:dyDescent="0.35">
      <c r="A6" s="44"/>
      <c r="B6" s="44"/>
      <c r="C6" s="44" t="s">
        <v>36</v>
      </c>
      <c r="D6" s="45"/>
      <c r="E6" s="32">
        <f>SUM(E7:E45)</f>
        <v>844517.74999999988</v>
      </c>
      <c r="F6" s="32">
        <f>SUM(F7:F45)</f>
        <v>1553537.26</v>
      </c>
      <c r="G6" s="32">
        <f>SUM(G7:G45)</f>
        <v>0</v>
      </c>
      <c r="H6" s="32">
        <f>SUM(H7:H42)</f>
        <v>0</v>
      </c>
      <c r="I6" s="32">
        <f>SUM(I7:I45)</f>
        <v>360260.91</v>
      </c>
      <c r="J6" s="32">
        <f>SUM(J7:J45)</f>
        <v>1001542.74</v>
      </c>
      <c r="K6" s="46">
        <f>SUM(K7:K42)</f>
        <v>0</v>
      </c>
      <c r="L6" s="32">
        <f>IF(BE6=0,SUM(U6+X6+AA6+AD6+AG6+AJ6+AM6+AP6+AS6+AV6+AY6+BB6),BE6)</f>
        <v>360260.91</v>
      </c>
      <c r="M6" s="32">
        <f t="shared" ref="M6:N35" si="5">IF(BF6=0,SUM(V6+Y6+AB6+AE6+AH6+AK6+AN6+AQ6+AT6+AW6+AZ6+BC6),BF6)</f>
        <v>1001542.74</v>
      </c>
      <c r="N6" s="46">
        <f t="shared" si="5"/>
        <v>0</v>
      </c>
      <c r="O6" s="32">
        <f>SUM(O7:O45)</f>
        <v>484256.83999999997</v>
      </c>
      <c r="P6" s="32">
        <f>SUM(P7:P45)</f>
        <v>551994.52</v>
      </c>
      <c r="Q6" s="46">
        <f>SUM(Q7:Q45)</f>
        <v>0</v>
      </c>
      <c r="R6" s="33">
        <f t="shared" si="1"/>
        <v>0.42658773009803524</v>
      </c>
      <c r="S6" s="33">
        <f t="shared" si="1"/>
        <v>0.64468536789391195</v>
      </c>
      <c r="T6" s="33" t="e">
        <f t="shared" si="2"/>
        <v>#DIV/0!</v>
      </c>
      <c r="U6" s="32">
        <f>SUM(U7:U45)</f>
        <v>27.08</v>
      </c>
      <c r="V6" s="32">
        <f>SUM(V7:V44)</f>
        <v>75551.12</v>
      </c>
      <c r="W6" s="32">
        <f>SUM(W7:W45)</f>
        <v>0</v>
      </c>
      <c r="X6" s="32">
        <f>SUM(X7:X45)</f>
        <v>1828.43</v>
      </c>
      <c r="Y6" s="32">
        <f>SUM(Y7:Y45)</f>
        <v>89502.900000000009</v>
      </c>
      <c r="Z6" s="32">
        <f>SUM(Z7:Z42)</f>
        <v>0</v>
      </c>
      <c r="AA6" s="32">
        <f>SUM(AA7:AA45)</f>
        <v>54213.289999999994</v>
      </c>
      <c r="AB6" s="32">
        <f>SUM(AB7:AB44)</f>
        <v>182708.91</v>
      </c>
      <c r="AC6" s="32">
        <f>SUM(AC7:AC42)</f>
        <v>0</v>
      </c>
      <c r="AD6" s="32">
        <f>SUM(AD7:AD45)</f>
        <v>50496.369999999995</v>
      </c>
      <c r="AE6" s="32">
        <f>SUM(AE7:AE45)</f>
        <v>159260.24</v>
      </c>
      <c r="AF6" s="32">
        <f>SUM(AF7:AF42)</f>
        <v>0</v>
      </c>
      <c r="AG6" s="32">
        <f>SUM(AG7:AG45)</f>
        <v>84305.43</v>
      </c>
      <c r="AH6" s="32">
        <f>SUM(AH7:AH45)</f>
        <v>116175.06999999999</v>
      </c>
      <c r="AI6" s="32">
        <f>SUM(AI7:AI42)</f>
        <v>0</v>
      </c>
      <c r="AJ6" s="32">
        <f>SUM(AJ7:AJ45)</f>
        <v>94979.49</v>
      </c>
      <c r="AK6" s="32">
        <f>SUM(AK7:AK45)</f>
        <v>144107.38</v>
      </c>
      <c r="AL6" s="32">
        <f>SUM(AL7:AL42)</f>
        <v>0</v>
      </c>
      <c r="AM6" s="32">
        <f>SUM(AM7:AM45)</f>
        <v>74410.820000000007</v>
      </c>
      <c r="AN6" s="32">
        <f>SUM(AN7:AN45)</f>
        <v>234237.12</v>
      </c>
      <c r="AO6" s="32">
        <f>SUM(AO7:AO42)</f>
        <v>0</v>
      </c>
      <c r="AP6" s="32">
        <f>SUM(AP7:AP42)</f>
        <v>0</v>
      </c>
      <c r="AQ6" s="32">
        <f>SUM(AQ7:AQ42)</f>
        <v>0</v>
      </c>
      <c r="AR6" s="32">
        <f>SUM(AR7:AR42)</f>
        <v>0</v>
      </c>
      <c r="AS6" s="32">
        <f>SUM(AS7:AS42)</f>
        <v>0</v>
      </c>
      <c r="AT6" s="32">
        <f>SUM(AT7:AT42)</f>
        <v>0</v>
      </c>
      <c r="AU6" s="32">
        <f>SUM(AU7:AU42)</f>
        <v>0</v>
      </c>
      <c r="AV6" s="32">
        <f>SUM(AV7:AV42)</f>
        <v>0</v>
      </c>
      <c r="AW6" s="32">
        <f>SUM(AW7:AW42)</f>
        <v>0</v>
      </c>
      <c r="AX6" s="32">
        <f>SUM(AX7:AX42)</f>
        <v>0</v>
      </c>
      <c r="AY6" s="32">
        <f>SUM(AY7:AY42)</f>
        <v>0</v>
      </c>
      <c r="AZ6" s="32">
        <f>SUM(AZ7:AZ42)</f>
        <v>0</v>
      </c>
      <c r="BA6" s="32">
        <f>SUM(BA7:BA42)</f>
        <v>0</v>
      </c>
      <c r="BB6" s="32">
        <f>SUM(BB7:BB42)</f>
        <v>0</v>
      </c>
      <c r="BC6" s="32">
        <f>SUM(BC7:BC42)</f>
        <v>0</v>
      </c>
      <c r="BD6" s="32">
        <f>SUM(BD7:BD42)</f>
        <v>0</v>
      </c>
      <c r="BE6" s="32">
        <f>SUM(BE7:BE42)</f>
        <v>0</v>
      </c>
      <c r="BF6" s="32">
        <f>SUM(BF7:BF42)</f>
        <v>0</v>
      </c>
      <c r="BG6" s="32">
        <f>SUM(BG7:BG42)</f>
        <v>0</v>
      </c>
      <c r="BH6" s="47"/>
      <c r="BI6" s="48"/>
      <c r="BJ6" s="48"/>
      <c r="BK6" s="48"/>
      <c r="BL6" s="48"/>
    </row>
    <row r="7" spans="1:64" ht="15.75" customHeight="1" x14ac:dyDescent="0.25">
      <c r="A7" s="49" t="s">
        <v>37</v>
      </c>
      <c r="B7" s="50" t="s">
        <v>38</v>
      </c>
      <c r="C7" s="205" t="s">
        <v>39</v>
      </c>
      <c r="D7" s="206" t="s">
        <v>40</v>
      </c>
      <c r="E7" s="37">
        <f>1366.43+19000+11614.11+15690.95+17000+17000+17000+125000</f>
        <v>223671.49</v>
      </c>
      <c r="F7" s="52">
        <v>33392.69</v>
      </c>
      <c r="G7" s="52"/>
      <c r="H7" s="53"/>
      <c r="I7" s="39">
        <f t="shared" ref="I7:K22" si="6">U7+X7+AA7+AD7+AG7+AJ7+AM7+AP7+AS7+AV7+AY7+BB7</f>
        <v>77503.88</v>
      </c>
      <c r="J7" s="39">
        <f t="shared" si="6"/>
        <v>33392.69</v>
      </c>
      <c r="K7" s="39">
        <f t="shared" si="6"/>
        <v>0</v>
      </c>
      <c r="L7" s="39">
        <f t="shared" ref="L7:N36" si="7">IF(BE7=0,SUM(U7+X7+AA7+AD7+AG7+AJ7+AM7+AP7+AS7+AV7+AY7+BB7),BE7)</f>
        <v>77503.88</v>
      </c>
      <c r="M7" s="39">
        <f t="shared" si="5"/>
        <v>33392.69</v>
      </c>
      <c r="N7" s="39">
        <f t="shared" si="5"/>
        <v>0</v>
      </c>
      <c r="O7" s="39">
        <f t="shared" ref="O7:P35" si="8">E7-I7</f>
        <v>146167.60999999999</v>
      </c>
      <c r="P7" s="39">
        <f t="shared" si="8"/>
        <v>0</v>
      </c>
      <c r="Q7" s="39">
        <f t="shared" ref="Q7:Q45" si="9">H7-K7</f>
        <v>0</v>
      </c>
      <c r="R7" s="41">
        <f t="shared" si="1"/>
        <v>0.34650763939561546</v>
      </c>
      <c r="S7" s="41">
        <f t="shared" si="1"/>
        <v>1</v>
      </c>
      <c r="T7" s="41" t="e">
        <f t="shared" si="2"/>
        <v>#DIV/0!</v>
      </c>
      <c r="U7" s="37"/>
      <c r="V7" s="37">
        <v>18090.669999999998</v>
      </c>
      <c r="W7" s="37"/>
      <c r="X7" s="54">
        <f>1366.43</f>
        <v>1366.43</v>
      </c>
      <c r="Y7" s="54">
        <v>15302.02</v>
      </c>
      <c r="Z7" s="37"/>
      <c r="AA7" s="37">
        <v>15086.89</v>
      </c>
      <c r="AB7" s="37"/>
      <c r="AC7" s="37"/>
      <c r="AD7" s="37">
        <f>16009.2-481.98</f>
        <v>15527.220000000001</v>
      </c>
      <c r="AE7" s="37"/>
      <c r="AF7" s="37"/>
      <c r="AG7" s="37"/>
      <c r="AH7" s="37"/>
      <c r="AI7" s="37"/>
      <c r="AJ7" s="37">
        <f>15690.95+14468.24-902.65-115.52</f>
        <v>29141.02</v>
      </c>
      <c r="AK7" s="37"/>
      <c r="AL7" s="37"/>
      <c r="AM7" s="37">
        <v>16382.32</v>
      </c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42"/>
      <c r="BI7" s="43"/>
      <c r="BJ7" s="43"/>
      <c r="BK7" s="43"/>
      <c r="BL7" s="43"/>
    </row>
    <row r="8" spans="1:64" ht="15.75" customHeight="1" x14ac:dyDescent="0.25">
      <c r="A8" s="55"/>
      <c r="B8" s="50" t="s">
        <v>41</v>
      </c>
      <c r="C8" s="205" t="s">
        <v>42</v>
      </c>
      <c r="D8" s="207" t="s">
        <v>43</v>
      </c>
      <c r="E8" s="37"/>
      <c r="F8" s="52">
        <f>236.29+3000</f>
        <v>3236.29</v>
      </c>
      <c r="G8" s="52"/>
      <c r="H8" s="53"/>
      <c r="I8" s="39">
        <f t="shared" si="6"/>
        <v>0</v>
      </c>
      <c r="J8" s="39">
        <f t="shared" si="6"/>
        <v>371.22</v>
      </c>
      <c r="K8" s="39">
        <f t="shared" si="6"/>
        <v>0</v>
      </c>
      <c r="L8" s="39">
        <f t="shared" si="7"/>
        <v>0</v>
      </c>
      <c r="M8" s="39">
        <f t="shared" si="5"/>
        <v>371.22</v>
      </c>
      <c r="N8" s="39">
        <f t="shared" si="5"/>
        <v>0</v>
      </c>
      <c r="O8" s="39">
        <f t="shared" si="8"/>
        <v>0</v>
      </c>
      <c r="P8" s="39">
        <f t="shared" si="8"/>
        <v>2865.0699999999997</v>
      </c>
      <c r="Q8" s="39">
        <f t="shared" si="9"/>
        <v>0</v>
      </c>
      <c r="R8" s="41" t="e">
        <f t="shared" si="1"/>
        <v>#DIV/0!</v>
      </c>
      <c r="S8" s="41">
        <f t="shared" si="1"/>
        <v>0.11470541885924934</v>
      </c>
      <c r="T8" s="41" t="e">
        <f t="shared" si="2"/>
        <v>#DIV/0!</v>
      </c>
      <c r="U8" s="37"/>
      <c r="V8" s="37">
        <v>15.55</v>
      </c>
      <c r="W8" s="37"/>
      <c r="X8" s="54"/>
      <c r="Y8" s="54">
        <f>0.31+27.85</f>
        <v>28.16</v>
      </c>
      <c r="Z8" s="37"/>
      <c r="AA8" s="37"/>
      <c r="AB8" s="37">
        <f>122.06</f>
        <v>122.06</v>
      </c>
      <c r="AC8" s="37"/>
      <c r="AD8" s="37"/>
      <c r="AE8" s="37"/>
      <c r="AF8" s="37"/>
      <c r="AG8" s="37"/>
      <c r="AH8" s="37"/>
      <c r="AI8" s="37"/>
      <c r="AJ8" s="37"/>
      <c r="AK8" s="37">
        <f>205.45</f>
        <v>205.45</v>
      </c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42"/>
      <c r="BI8" s="43"/>
      <c r="BJ8" s="43"/>
      <c r="BK8" s="43"/>
      <c r="BL8" s="43"/>
    </row>
    <row r="9" spans="1:64" ht="15.75" customHeight="1" x14ac:dyDescent="0.25">
      <c r="A9" s="55" t="s">
        <v>44</v>
      </c>
      <c r="B9" s="50" t="s">
        <v>45</v>
      </c>
      <c r="C9" s="205" t="s">
        <v>46</v>
      </c>
      <c r="D9" s="207" t="s">
        <v>47</v>
      </c>
      <c r="E9" s="37">
        <f>21932.34+21932.34+21932.34+21932.34+21932.34+21932.34+43864.68</f>
        <v>175458.72</v>
      </c>
      <c r="F9" s="52">
        <v>43864.68</v>
      </c>
      <c r="G9" s="52"/>
      <c r="H9" s="53"/>
      <c r="I9" s="39">
        <f t="shared" si="6"/>
        <v>109661.7</v>
      </c>
      <c r="J9" s="39">
        <f t="shared" si="6"/>
        <v>43864.68</v>
      </c>
      <c r="K9" s="39">
        <f t="shared" si="6"/>
        <v>0</v>
      </c>
      <c r="L9" s="39">
        <f t="shared" si="7"/>
        <v>109661.7</v>
      </c>
      <c r="M9" s="39">
        <f t="shared" si="5"/>
        <v>43864.68</v>
      </c>
      <c r="N9" s="39">
        <f t="shared" si="5"/>
        <v>0</v>
      </c>
      <c r="O9" s="39">
        <f t="shared" si="8"/>
        <v>65797.02</v>
      </c>
      <c r="P9" s="39">
        <f t="shared" si="8"/>
        <v>0</v>
      </c>
      <c r="Q9" s="39">
        <f t="shared" si="9"/>
        <v>0</v>
      </c>
      <c r="R9" s="41">
        <f t="shared" si="1"/>
        <v>0.625</v>
      </c>
      <c r="S9" s="41">
        <f t="shared" si="1"/>
        <v>1</v>
      </c>
      <c r="T9" s="41" t="e">
        <f t="shared" si="2"/>
        <v>#DIV/0!</v>
      </c>
      <c r="U9" s="37"/>
      <c r="V9" s="37">
        <v>21932.34</v>
      </c>
      <c r="W9" s="37"/>
      <c r="X9" s="54"/>
      <c r="Y9" s="54">
        <f>43864.68-V9</f>
        <v>21932.34</v>
      </c>
      <c r="Z9" s="37"/>
      <c r="AA9" s="37">
        <v>21932.34</v>
      </c>
      <c r="AB9" s="37"/>
      <c r="AC9" s="37"/>
      <c r="AD9" s="37">
        <v>21932.34</v>
      </c>
      <c r="AE9" s="37"/>
      <c r="AF9" s="37"/>
      <c r="AG9" s="37">
        <f>21932.34</f>
        <v>21932.34</v>
      </c>
      <c r="AH9" s="37"/>
      <c r="AI9" s="37"/>
      <c r="AJ9" s="37">
        <f>21932.34</f>
        <v>21932.34</v>
      </c>
      <c r="AK9" s="37"/>
      <c r="AL9" s="37"/>
      <c r="AM9" s="37">
        <v>21932.34</v>
      </c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42"/>
      <c r="BI9" s="43"/>
      <c r="BJ9" s="43"/>
      <c r="BK9" s="43"/>
      <c r="BL9" s="43"/>
    </row>
    <row r="10" spans="1:64" ht="15.75" hidden="1" customHeight="1" x14ac:dyDescent="0.25">
      <c r="A10" s="55"/>
      <c r="B10" s="50"/>
      <c r="C10" s="205" t="s">
        <v>48</v>
      </c>
      <c r="D10" s="208" t="s">
        <v>49</v>
      </c>
      <c r="E10" s="37"/>
      <c r="F10" s="52"/>
      <c r="G10" s="52"/>
      <c r="H10" s="53"/>
      <c r="I10" s="39">
        <f t="shared" si="6"/>
        <v>0</v>
      </c>
      <c r="J10" s="39">
        <f t="shared" si="6"/>
        <v>0</v>
      </c>
      <c r="K10" s="39">
        <f t="shared" si="6"/>
        <v>0</v>
      </c>
      <c r="L10" s="39">
        <f t="shared" si="7"/>
        <v>0</v>
      </c>
      <c r="M10" s="39">
        <f t="shared" si="5"/>
        <v>0</v>
      </c>
      <c r="N10" s="39">
        <f t="shared" si="5"/>
        <v>0</v>
      </c>
      <c r="O10" s="39">
        <f t="shared" si="8"/>
        <v>0</v>
      </c>
      <c r="P10" s="39">
        <f t="shared" si="8"/>
        <v>0</v>
      </c>
      <c r="Q10" s="39">
        <f t="shared" si="9"/>
        <v>0</v>
      </c>
      <c r="R10" s="41" t="e">
        <f t="shared" si="1"/>
        <v>#DIV/0!</v>
      </c>
      <c r="S10" s="41" t="e">
        <f t="shared" si="1"/>
        <v>#DIV/0!</v>
      </c>
      <c r="T10" s="41" t="e">
        <f t="shared" si="2"/>
        <v>#DIV/0!</v>
      </c>
      <c r="U10" s="37"/>
      <c r="V10" s="37"/>
      <c r="W10" s="37"/>
      <c r="X10" s="54"/>
      <c r="Y10" s="54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42"/>
      <c r="BI10" s="43"/>
      <c r="BJ10" s="43"/>
      <c r="BK10" s="43"/>
      <c r="BL10" s="43"/>
    </row>
    <row r="11" spans="1:64" ht="15.75" hidden="1" customHeight="1" x14ac:dyDescent="0.25">
      <c r="A11" s="56"/>
      <c r="B11" s="50"/>
      <c r="C11" s="205" t="s">
        <v>50</v>
      </c>
      <c r="D11" s="208" t="s">
        <v>51</v>
      </c>
      <c r="E11" s="37"/>
      <c r="F11" s="52"/>
      <c r="G11" s="52"/>
      <c r="H11" s="53"/>
      <c r="I11" s="39">
        <f t="shared" si="6"/>
        <v>0</v>
      </c>
      <c r="J11" s="39">
        <f t="shared" si="6"/>
        <v>0</v>
      </c>
      <c r="K11" s="39">
        <f t="shared" si="6"/>
        <v>0</v>
      </c>
      <c r="L11" s="39">
        <f t="shared" si="7"/>
        <v>0</v>
      </c>
      <c r="M11" s="39">
        <f t="shared" si="5"/>
        <v>0</v>
      </c>
      <c r="N11" s="39">
        <f t="shared" si="5"/>
        <v>0</v>
      </c>
      <c r="O11" s="39">
        <f t="shared" si="8"/>
        <v>0</v>
      </c>
      <c r="P11" s="39">
        <f t="shared" si="8"/>
        <v>0</v>
      </c>
      <c r="Q11" s="39">
        <f t="shared" si="9"/>
        <v>0</v>
      </c>
      <c r="R11" s="41" t="e">
        <f t="shared" si="1"/>
        <v>#DIV/0!</v>
      </c>
      <c r="S11" s="41" t="e">
        <f t="shared" si="1"/>
        <v>#DIV/0!</v>
      </c>
      <c r="T11" s="41" t="e">
        <f t="shared" si="2"/>
        <v>#DIV/0!</v>
      </c>
      <c r="U11" s="37"/>
      <c r="V11" s="37"/>
      <c r="W11" s="37"/>
      <c r="X11" s="54"/>
      <c r="Y11" s="54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42"/>
      <c r="BI11" s="43"/>
      <c r="BJ11" s="43"/>
      <c r="BK11" s="43"/>
      <c r="BL11" s="43"/>
    </row>
    <row r="12" spans="1:64" ht="15.75" customHeight="1" x14ac:dyDescent="0.25">
      <c r="A12" s="55" t="s">
        <v>52</v>
      </c>
      <c r="B12" s="50" t="s">
        <v>53</v>
      </c>
      <c r="C12" s="205" t="s">
        <v>54</v>
      </c>
      <c r="D12" s="207" t="s">
        <v>55</v>
      </c>
      <c r="E12" s="37">
        <f>10747.76+19190.52+22508.68+20020.06+20020.06+20020.06+200200.6</f>
        <v>312707.74</v>
      </c>
      <c r="F12" s="52">
        <v>38381.040000000001</v>
      </c>
      <c r="G12" s="52"/>
      <c r="H12" s="53"/>
      <c r="I12" s="39">
        <f>U12+X12+AA12+AD12+AG12+AJ12+AM12+AP12+AS12+AV12+AY12+BB12</f>
        <v>92487.08</v>
      </c>
      <c r="J12" s="39">
        <f>V12+Y12+AE12+AK12+AN12+AQ12+AT12+AW12+AZ12+BC12</f>
        <v>38381.040000000001</v>
      </c>
      <c r="K12" s="39">
        <f>W12+Z12+AC12+AF12+AI12+AL12+AO12+AR12+AU12+AX12+BA12+BD12</f>
        <v>0</v>
      </c>
      <c r="L12" s="39">
        <f>IF(BE12=0,SUM(U12+X12+AA12+AD12+AG12+AJ12+AM12+AP12+AS12+AV12+AY12+BB12),BE12)</f>
        <v>92487.08</v>
      </c>
      <c r="M12" s="39">
        <f>IF(BF12=0,SUM(V12+Y12+AE12+AK12+AN12+AQ12+AT12+AW12+AZ12+BC12),BF12)</f>
        <v>38381.040000000001</v>
      </c>
      <c r="N12" s="39">
        <f t="shared" si="5"/>
        <v>0</v>
      </c>
      <c r="O12" s="39">
        <f t="shared" si="8"/>
        <v>220220.65999999997</v>
      </c>
      <c r="P12" s="39">
        <f t="shared" si="8"/>
        <v>0</v>
      </c>
      <c r="Q12" s="39">
        <f t="shared" si="9"/>
        <v>0</v>
      </c>
      <c r="R12" s="41">
        <f t="shared" si="1"/>
        <v>0.29576204285829322</v>
      </c>
      <c r="S12" s="41">
        <f t="shared" si="1"/>
        <v>1</v>
      </c>
      <c r="T12" s="41" t="e">
        <f t="shared" si="2"/>
        <v>#DIV/0!</v>
      </c>
      <c r="U12" s="37"/>
      <c r="V12" s="37">
        <f>19190.52</f>
        <v>19190.52</v>
      </c>
      <c r="W12" s="57"/>
      <c r="X12" s="54"/>
      <c r="Y12" s="54">
        <v>19190.52</v>
      </c>
      <c r="Z12" s="37"/>
      <c r="AA12" s="37">
        <v>10747.76</v>
      </c>
      <c r="AB12" s="37"/>
      <c r="AC12" s="37"/>
      <c r="AD12" s="37">
        <v>0</v>
      </c>
      <c r="AE12" s="37"/>
      <c r="AF12" s="37"/>
      <c r="AG12" s="37">
        <f>19190.52+22508.68</f>
        <v>41699.199999999997</v>
      </c>
      <c r="AH12" s="58"/>
      <c r="AI12" s="37"/>
      <c r="AJ12" s="37">
        <f>20020.06</f>
        <v>20020.060000000001</v>
      </c>
      <c r="AK12" s="37"/>
      <c r="AL12" s="37"/>
      <c r="AM12" s="37">
        <v>20020.060000000001</v>
      </c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42"/>
      <c r="BI12" s="43"/>
      <c r="BJ12" s="43"/>
      <c r="BK12" s="43"/>
      <c r="BL12" s="43"/>
    </row>
    <row r="13" spans="1:64" ht="15.75" x14ac:dyDescent="0.25">
      <c r="A13" s="55" t="s">
        <v>56</v>
      </c>
      <c r="B13" s="50" t="s">
        <v>57</v>
      </c>
      <c r="C13" s="205" t="s">
        <v>58</v>
      </c>
      <c r="D13" s="204" t="s">
        <v>59</v>
      </c>
      <c r="E13" s="37">
        <f>3269.52+3269.52+3902.04+3427.65+3427.65+3427.65+17138.25</f>
        <v>37862.28</v>
      </c>
      <c r="F13" s="52">
        <v>6539.04</v>
      </c>
      <c r="G13" s="52"/>
      <c r="H13" s="53"/>
      <c r="I13" s="39">
        <f t="shared" si="6"/>
        <v>17296.38</v>
      </c>
      <c r="J13" s="39">
        <f>V13+Y13+AB13+AE13+AH13+AK13+AN13+AQ13+AT13+AW13+AZ13+BC13</f>
        <v>6539.04</v>
      </c>
      <c r="K13" s="39">
        <f t="shared" ref="K13:K33" si="10">W13+Z13+AC13+AF13+AI13+AL13+AO13+AR13+AU13+AX13+BA13+BD13</f>
        <v>0</v>
      </c>
      <c r="L13" s="39">
        <f t="shared" si="7"/>
        <v>17296.38</v>
      </c>
      <c r="M13" s="39">
        <f>IF(BF13=0,SUM(V13+Y13+AA13+AE13+AH13+AK13+AN13+AQ13+AT13+AW13+AZ13+BC13),BF13)</f>
        <v>9808.56</v>
      </c>
      <c r="N13" s="39">
        <f t="shared" si="5"/>
        <v>0</v>
      </c>
      <c r="O13" s="39">
        <f t="shared" si="8"/>
        <v>20565.899999999998</v>
      </c>
      <c r="P13" s="39">
        <f>F13-J13</f>
        <v>0</v>
      </c>
      <c r="Q13" s="39">
        <f t="shared" si="9"/>
        <v>0</v>
      </c>
      <c r="R13" s="41">
        <f t="shared" si="1"/>
        <v>0.45682351934431847</v>
      </c>
      <c r="S13" s="41">
        <f t="shared" si="1"/>
        <v>1</v>
      </c>
      <c r="T13" s="41" t="e">
        <f t="shared" si="2"/>
        <v>#DIV/0!</v>
      </c>
      <c r="U13" s="37"/>
      <c r="V13" s="37">
        <v>3269.52</v>
      </c>
      <c r="W13" s="37"/>
      <c r="X13" s="54"/>
      <c r="Y13" s="54">
        <v>3269.52</v>
      </c>
      <c r="Z13" s="37"/>
      <c r="AA13" s="37">
        <v>3269.52</v>
      </c>
      <c r="AB13" s="58"/>
      <c r="AC13" s="37"/>
      <c r="AD13" s="37">
        <v>3269.52</v>
      </c>
      <c r="AE13" s="37"/>
      <c r="AF13" s="37"/>
      <c r="AG13" s="37">
        <f>3902.04</f>
        <v>3902.04</v>
      </c>
      <c r="AH13" s="37"/>
      <c r="AI13" s="37"/>
      <c r="AJ13" s="37">
        <v>3427.65</v>
      </c>
      <c r="AK13" s="37"/>
      <c r="AL13" s="37"/>
      <c r="AM13" s="37">
        <v>3427.65</v>
      </c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42"/>
      <c r="BI13" s="43"/>
      <c r="BJ13" s="43"/>
      <c r="BK13" s="43"/>
      <c r="BL13" s="43"/>
    </row>
    <row r="14" spans="1:64" ht="15.75" customHeight="1" x14ac:dyDescent="0.25">
      <c r="A14" s="56" t="s">
        <v>60</v>
      </c>
      <c r="B14" s="50" t="s">
        <v>61</v>
      </c>
      <c r="C14" s="205" t="s">
        <v>62</v>
      </c>
      <c r="D14" s="204" t="s">
        <v>63</v>
      </c>
      <c r="E14" s="37">
        <v>170.69</v>
      </c>
      <c r="F14" s="52">
        <v>1870.11</v>
      </c>
      <c r="G14" s="52"/>
      <c r="H14" s="53"/>
      <c r="I14" s="39">
        <f t="shared" si="6"/>
        <v>0</v>
      </c>
      <c r="J14" s="39">
        <f t="shared" si="6"/>
        <v>0</v>
      </c>
      <c r="K14" s="39">
        <f t="shared" si="10"/>
        <v>0</v>
      </c>
      <c r="L14" s="39">
        <f t="shared" si="7"/>
        <v>0</v>
      </c>
      <c r="M14" s="39">
        <f t="shared" si="5"/>
        <v>0</v>
      </c>
      <c r="N14" s="39">
        <f t="shared" si="5"/>
        <v>0</v>
      </c>
      <c r="O14" s="39">
        <f t="shared" si="8"/>
        <v>170.69</v>
      </c>
      <c r="P14" s="39">
        <f t="shared" si="8"/>
        <v>1870.11</v>
      </c>
      <c r="Q14" s="39">
        <f t="shared" si="9"/>
        <v>0</v>
      </c>
      <c r="R14" s="41">
        <f t="shared" si="1"/>
        <v>0</v>
      </c>
      <c r="S14" s="41">
        <f t="shared" si="1"/>
        <v>0</v>
      </c>
      <c r="T14" s="41" t="e">
        <f t="shared" si="2"/>
        <v>#DIV/0!</v>
      </c>
      <c r="U14" s="37"/>
      <c r="V14" s="37"/>
      <c r="W14" s="37"/>
      <c r="X14" s="54"/>
      <c r="Y14" s="54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42"/>
      <c r="BI14" s="43"/>
      <c r="BJ14" s="43"/>
      <c r="BK14" s="43"/>
      <c r="BL14" s="43"/>
    </row>
    <row r="15" spans="1:64" ht="15.75" customHeight="1" x14ac:dyDescent="0.25">
      <c r="A15" s="56" t="s">
        <v>64</v>
      </c>
      <c r="B15" s="50" t="s">
        <v>65</v>
      </c>
      <c r="C15" s="205" t="s">
        <v>58</v>
      </c>
      <c r="D15" s="207" t="s">
        <v>66</v>
      </c>
      <c r="E15" s="37">
        <f>3725.61+3725.61+3725.61+3725.61+3725.61+3725.61+18628.05</f>
        <v>40981.71</v>
      </c>
      <c r="F15" s="52">
        <v>11176.83</v>
      </c>
      <c r="G15" s="52"/>
      <c r="H15" s="53"/>
      <c r="I15" s="39">
        <f>U15+X15+AA15+AD15+AG15+AJ15+AM15+AP15+AS15+AV15+AY15+BB15</f>
        <v>18628.05</v>
      </c>
      <c r="J15" s="39">
        <f>V15+Y15+AB15+AE15+AH15+AK15+AN15+AQ15+AT15+AW15+AZ15+BC15</f>
        <v>11176.83</v>
      </c>
      <c r="K15" s="39">
        <f t="shared" si="10"/>
        <v>0</v>
      </c>
      <c r="L15" s="39">
        <f t="shared" si="7"/>
        <v>18628.05</v>
      </c>
      <c r="M15" s="39">
        <f>IF(BF15=0,SUM(V15+Y15+AA15+AE15+AH15+AK15+AN15+AQ15+AT15+AW15+AZ15+BC15),BF15)</f>
        <v>7451.22</v>
      </c>
      <c r="N15" s="39">
        <f t="shared" si="5"/>
        <v>0</v>
      </c>
      <c r="O15" s="39">
        <f t="shared" si="8"/>
        <v>22353.66</v>
      </c>
      <c r="P15" s="39">
        <f t="shared" si="8"/>
        <v>0</v>
      </c>
      <c r="Q15" s="39">
        <f t="shared" si="9"/>
        <v>0</v>
      </c>
      <c r="R15" s="41">
        <f t="shared" si="1"/>
        <v>0.45454545454545453</v>
      </c>
      <c r="S15" s="41">
        <f t="shared" si="1"/>
        <v>1</v>
      </c>
      <c r="T15" s="41" t="e">
        <f t="shared" si="2"/>
        <v>#DIV/0!</v>
      </c>
      <c r="U15" s="37"/>
      <c r="V15" s="37">
        <f>3725.61+3725.61</f>
        <v>7451.22</v>
      </c>
      <c r="W15" s="37"/>
      <c r="X15" s="54"/>
      <c r="Y15" s="54"/>
      <c r="Z15" s="37"/>
      <c r="AA15" s="37"/>
      <c r="AB15" s="37">
        <v>3725.61</v>
      </c>
      <c r="AC15" s="37"/>
      <c r="AD15" s="37">
        <v>3725.61</v>
      </c>
      <c r="AE15" s="37"/>
      <c r="AF15" s="37"/>
      <c r="AG15" s="37">
        <f>3725.61+3725.61</f>
        <v>7451.22</v>
      </c>
      <c r="AH15" s="37"/>
      <c r="AI15" s="37"/>
      <c r="AJ15" s="37">
        <v>3725.61</v>
      </c>
      <c r="AK15" s="37"/>
      <c r="AL15" s="37"/>
      <c r="AM15" s="37">
        <v>3725.61</v>
      </c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42"/>
      <c r="BI15" s="43"/>
      <c r="BJ15" s="43"/>
      <c r="BK15" s="43"/>
      <c r="BL15" s="43"/>
    </row>
    <row r="16" spans="1:64" ht="15.75" x14ac:dyDescent="0.25">
      <c r="A16" s="55" t="s">
        <v>67</v>
      </c>
      <c r="B16" s="50" t="s">
        <v>68</v>
      </c>
      <c r="C16" s="205" t="s">
        <v>58</v>
      </c>
      <c r="D16" s="207" t="s">
        <v>69</v>
      </c>
      <c r="E16" s="37">
        <f>3176.78+3133.1+3133.1+3133.1+3133.1+3133.1</f>
        <v>18842.28</v>
      </c>
      <c r="F16" s="52">
        <v>6199</v>
      </c>
      <c r="G16" s="52"/>
      <c r="H16" s="53"/>
      <c r="I16" s="39">
        <f t="shared" si="6"/>
        <v>15709.18</v>
      </c>
      <c r="J16" s="39">
        <f>V16+Y16+AB16+AE16+AH16+AK16+AN16+AQ16+AT16+AW16+AZ16+BC16</f>
        <v>6199</v>
      </c>
      <c r="K16" s="39">
        <f t="shared" si="10"/>
        <v>0</v>
      </c>
      <c r="L16" s="39">
        <f t="shared" si="7"/>
        <v>15709.18</v>
      </c>
      <c r="M16" s="39">
        <f>IF(BF16=0,SUM(V16+Y16+AA16+AE16+AH16+AK16+AN16+AQ16+AT16+AW16+AZ16+BC16),BF16)</f>
        <v>9375.7800000000007</v>
      </c>
      <c r="N16" s="39">
        <f t="shared" si="5"/>
        <v>0</v>
      </c>
      <c r="O16" s="39">
        <f t="shared" si="8"/>
        <v>3133.0999999999985</v>
      </c>
      <c r="P16" s="39">
        <f t="shared" si="8"/>
        <v>0</v>
      </c>
      <c r="Q16" s="39">
        <f t="shared" si="9"/>
        <v>0</v>
      </c>
      <c r="R16" s="41">
        <f t="shared" si="1"/>
        <v>0.8337196984653662</v>
      </c>
      <c r="S16" s="41">
        <f t="shared" si="1"/>
        <v>1</v>
      </c>
      <c r="T16" s="41" t="e">
        <f t="shared" si="2"/>
        <v>#DIV/0!</v>
      </c>
      <c r="U16" s="37"/>
      <c r="V16" s="37">
        <v>3099.5</v>
      </c>
      <c r="W16" s="37"/>
      <c r="X16" s="54"/>
      <c r="Y16" s="54">
        <v>3099.5</v>
      </c>
      <c r="Z16" s="37"/>
      <c r="AA16" s="37">
        <v>3176.78</v>
      </c>
      <c r="AB16" s="59"/>
      <c r="AC16" s="60"/>
      <c r="AD16" s="37">
        <v>3133.1</v>
      </c>
      <c r="AE16" s="60"/>
      <c r="AF16" s="60"/>
      <c r="AG16" s="37">
        <v>3133.1</v>
      </c>
      <c r="AH16" s="60"/>
      <c r="AI16" s="60"/>
      <c r="AJ16" s="37">
        <v>3133.1</v>
      </c>
      <c r="AK16" s="37"/>
      <c r="AL16" s="37"/>
      <c r="AM16" s="37">
        <v>3133.1</v>
      </c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42"/>
      <c r="BI16" s="43"/>
      <c r="BJ16" s="43"/>
      <c r="BK16" s="43"/>
      <c r="BL16" s="43"/>
    </row>
    <row r="17" spans="1:64" ht="15.75" customHeight="1" x14ac:dyDescent="0.25">
      <c r="A17" s="49"/>
      <c r="B17" s="50" t="s">
        <v>70</v>
      </c>
      <c r="C17" s="205" t="s">
        <v>71</v>
      </c>
      <c r="D17" s="204" t="s">
        <v>72</v>
      </c>
      <c r="E17" s="37"/>
      <c r="F17" s="52">
        <v>5047.3999999999996</v>
      </c>
      <c r="G17" s="52"/>
      <c r="H17" s="53"/>
      <c r="I17" s="39">
        <f t="shared" si="6"/>
        <v>0</v>
      </c>
      <c r="J17" s="39">
        <f t="shared" si="6"/>
        <v>5047.3999999999996</v>
      </c>
      <c r="K17" s="39">
        <f t="shared" si="10"/>
        <v>0</v>
      </c>
      <c r="L17" s="39">
        <f t="shared" si="7"/>
        <v>0</v>
      </c>
      <c r="M17" s="39">
        <f t="shared" si="5"/>
        <v>5047.3999999999996</v>
      </c>
      <c r="N17" s="39">
        <f t="shared" si="5"/>
        <v>0</v>
      </c>
      <c r="O17" s="39">
        <f t="shared" si="8"/>
        <v>0</v>
      </c>
      <c r="P17" s="39">
        <f t="shared" si="8"/>
        <v>0</v>
      </c>
      <c r="Q17" s="39">
        <f t="shared" si="9"/>
        <v>0</v>
      </c>
      <c r="R17" s="41" t="e">
        <f t="shared" si="1"/>
        <v>#DIV/0!</v>
      </c>
      <c r="S17" s="41">
        <f t="shared" si="1"/>
        <v>1</v>
      </c>
      <c r="T17" s="41" t="e">
        <f t="shared" si="2"/>
        <v>#DIV/0!</v>
      </c>
      <c r="U17" s="37"/>
      <c r="V17" s="37"/>
      <c r="W17" s="37"/>
      <c r="X17" s="54"/>
      <c r="Y17" s="54"/>
      <c r="Z17" s="37"/>
      <c r="AA17" s="37"/>
      <c r="AB17" s="37"/>
      <c r="AC17" s="37"/>
      <c r="AD17" s="37"/>
      <c r="AE17" s="37">
        <v>5047.3999999999996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42"/>
      <c r="BI17" s="43"/>
      <c r="BJ17" s="43"/>
      <c r="BK17" s="43"/>
      <c r="BL17" s="43"/>
    </row>
    <row r="18" spans="1:64" ht="15.75" customHeight="1" x14ac:dyDescent="0.25">
      <c r="A18" s="49" t="s">
        <v>73</v>
      </c>
      <c r="B18" s="50"/>
      <c r="C18" s="205" t="s">
        <v>74</v>
      </c>
      <c r="D18" s="207" t="s">
        <v>75</v>
      </c>
      <c r="E18" s="37">
        <v>2235.71</v>
      </c>
      <c r="F18" s="52"/>
      <c r="G18" s="52"/>
      <c r="H18" s="53"/>
      <c r="I18" s="39">
        <f t="shared" si="6"/>
        <v>2235.71</v>
      </c>
      <c r="J18" s="39">
        <f t="shared" si="6"/>
        <v>0</v>
      </c>
      <c r="K18" s="39">
        <f t="shared" si="10"/>
        <v>0</v>
      </c>
      <c r="L18" s="39">
        <f t="shared" si="7"/>
        <v>2235.71</v>
      </c>
      <c r="M18" s="39">
        <f t="shared" si="5"/>
        <v>0</v>
      </c>
      <c r="N18" s="39">
        <f t="shared" si="5"/>
        <v>0</v>
      </c>
      <c r="O18" s="39">
        <f t="shared" si="8"/>
        <v>0</v>
      </c>
      <c r="P18" s="39">
        <f t="shared" si="8"/>
        <v>0</v>
      </c>
      <c r="Q18" s="39">
        <f t="shared" si="9"/>
        <v>0</v>
      </c>
      <c r="R18" s="41">
        <f t="shared" si="1"/>
        <v>1</v>
      </c>
      <c r="S18" s="41" t="e">
        <f t="shared" si="1"/>
        <v>#DIV/0!</v>
      </c>
      <c r="T18" s="41" t="e">
        <f t="shared" si="2"/>
        <v>#DIV/0!</v>
      </c>
      <c r="U18" s="37"/>
      <c r="V18" s="37"/>
      <c r="W18" s="37"/>
      <c r="X18" s="54"/>
      <c r="Y18" s="5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>
        <v>2235.71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42"/>
      <c r="BI18" s="43"/>
      <c r="BJ18" s="43"/>
      <c r="BK18" s="43"/>
      <c r="BL18" s="43"/>
    </row>
    <row r="19" spans="1:64" ht="15.75" hidden="1" customHeight="1" x14ac:dyDescent="0.25">
      <c r="A19" s="49"/>
      <c r="B19" s="50"/>
      <c r="C19" s="205" t="s">
        <v>76</v>
      </c>
      <c r="D19" s="204" t="s">
        <v>77</v>
      </c>
      <c r="E19" s="37"/>
      <c r="F19" s="52"/>
      <c r="G19" s="52"/>
      <c r="H19" s="53"/>
      <c r="I19" s="39">
        <f t="shared" si="6"/>
        <v>0</v>
      </c>
      <c r="J19" s="39">
        <f t="shared" si="6"/>
        <v>0</v>
      </c>
      <c r="K19" s="39">
        <f t="shared" si="10"/>
        <v>0</v>
      </c>
      <c r="L19" s="39">
        <f t="shared" si="7"/>
        <v>0</v>
      </c>
      <c r="M19" s="39">
        <f t="shared" si="5"/>
        <v>0</v>
      </c>
      <c r="N19" s="39">
        <f t="shared" si="5"/>
        <v>0</v>
      </c>
      <c r="O19" s="39">
        <f t="shared" si="8"/>
        <v>0</v>
      </c>
      <c r="P19" s="39">
        <f t="shared" si="8"/>
        <v>0</v>
      </c>
      <c r="Q19" s="39">
        <f t="shared" si="9"/>
        <v>0</v>
      </c>
      <c r="R19" s="41" t="e">
        <f t="shared" ref="R19:S48" si="11">I19/E19</f>
        <v>#DIV/0!</v>
      </c>
      <c r="S19" s="41" t="e">
        <f t="shared" si="11"/>
        <v>#DIV/0!</v>
      </c>
      <c r="T19" s="41" t="e">
        <f t="shared" si="2"/>
        <v>#DIV/0!</v>
      </c>
      <c r="U19" s="37"/>
      <c r="V19" s="37"/>
      <c r="W19" s="37"/>
      <c r="X19" s="54"/>
      <c r="Y19" s="54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42"/>
      <c r="BI19" s="43"/>
      <c r="BJ19" s="43"/>
      <c r="BK19" s="43"/>
      <c r="BL19" s="43"/>
    </row>
    <row r="20" spans="1:64" ht="15.75" hidden="1" customHeight="1" x14ac:dyDescent="0.25">
      <c r="A20" s="49"/>
      <c r="B20" s="50"/>
      <c r="C20" s="205" t="s">
        <v>71</v>
      </c>
      <c r="D20" s="204" t="s">
        <v>78</v>
      </c>
      <c r="E20" s="37"/>
      <c r="F20" s="52"/>
      <c r="G20" s="52"/>
      <c r="H20" s="53"/>
      <c r="I20" s="39">
        <f t="shared" si="6"/>
        <v>0</v>
      </c>
      <c r="J20" s="39">
        <f t="shared" si="6"/>
        <v>0</v>
      </c>
      <c r="K20" s="39">
        <f t="shared" si="10"/>
        <v>0</v>
      </c>
      <c r="L20" s="39">
        <f t="shared" si="7"/>
        <v>0</v>
      </c>
      <c r="M20" s="39">
        <f t="shared" si="5"/>
        <v>0</v>
      </c>
      <c r="N20" s="39">
        <f t="shared" si="5"/>
        <v>0</v>
      </c>
      <c r="O20" s="39">
        <f t="shared" si="8"/>
        <v>0</v>
      </c>
      <c r="P20" s="39">
        <f t="shared" si="8"/>
        <v>0</v>
      </c>
      <c r="Q20" s="39">
        <f t="shared" si="9"/>
        <v>0</v>
      </c>
      <c r="R20" s="41" t="e">
        <f t="shared" si="11"/>
        <v>#DIV/0!</v>
      </c>
      <c r="S20" s="41" t="e">
        <f t="shared" si="11"/>
        <v>#DIV/0!</v>
      </c>
      <c r="T20" s="41" t="e">
        <f t="shared" si="2"/>
        <v>#DIV/0!</v>
      </c>
      <c r="U20" s="37"/>
      <c r="V20" s="37"/>
      <c r="W20" s="37"/>
      <c r="X20" s="54"/>
      <c r="Y20" s="54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42"/>
      <c r="BI20" s="43"/>
      <c r="BJ20" s="43"/>
      <c r="BK20" s="43"/>
      <c r="BL20" s="43"/>
    </row>
    <row r="21" spans="1:64" ht="15.75" customHeight="1" x14ac:dyDescent="0.25">
      <c r="A21" s="55"/>
      <c r="B21" s="50" t="s">
        <v>79</v>
      </c>
      <c r="C21" s="205" t="s">
        <v>74</v>
      </c>
      <c r="D21" s="204" t="s">
        <v>80</v>
      </c>
      <c r="E21" s="37"/>
      <c r="F21" s="52">
        <v>1800</v>
      </c>
      <c r="G21" s="52"/>
      <c r="H21" s="53"/>
      <c r="I21" s="39">
        <f t="shared" si="6"/>
        <v>0</v>
      </c>
      <c r="J21" s="39">
        <f t="shared" si="6"/>
        <v>1800</v>
      </c>
      <c r="K21" s="39">
        <f t="shared" si="10"/>
        <v>0</v>
      </c>
      <c r="L21" s="39">
        <f t="shared" si="7"/>
        <v>0</v>
      </c>
      <c r="M21" s="39">
        <f t="shared" si="5"/>
        <v>1800</v>
      </c>
      <c r="N21" s="39">
        <f t="shared" si="5"/>
        <v>0</v>
      </c>
      <c r="O21" s="39">
        <f t="shared" si="8"/>
        <v>0</v>
      </c>
      <c r="P21" s="39">
        <f t="shared" si="8"/>
        <v>0</v>
      </c>
      <c r="Q21" s="39">
        <f t="shared" si="9"/>
        <v>0</v>
      </c>
      <c r="R21" s="41" t="e">
        <f t="shared" si="11"/>
        <v>#DIV/0!</v>
      </c>
      <c r="S21" s="41">
        <f t="shared" si="11"/>
        <v>1</v>
      </c>
      <c r="T21" s="41" t="e">
        <f t="shared" si="2"/>
        <v>#DIV/0!</v>
      </c>
      <c r="U21" s="37"/>
      <c r="V21" s="61">
        <v>1800</v>
      </c>
      <c r="W21" s="37"/>
      <c r="X21" s="54"/>
      <c r="Y21" s="54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42"/>
      <c r="BI21" s="43"/>
      <c r="BJ21" s="43"/>
      <c r="BK21" s="43"/>
      <c r="BL21" s="43"/>
    </row>
    <row r="22" spans="1:64" ht="15.75" customHeight="1" x14ac:dyDescent="0.25">
      <c r="A22" s="49" t="s">
        <v>81</v>
      </c>
      <c r="B22" s="50"/>
      <c r="C22" s="205" t="s">
        <v>71</v>
      </c>
      <c r="D22" s="204" t="s">
        <v>82</v>
      </c>
      <c r="E22" s="37">
        <v>2515</v>
      </c>
      <c r="F22" s="52"/>
      <c r="G22" s="52"/>
      <c r="H22" s="53"/>
      <c r="I22" s="39">
        <f t="shared" si="6"/>
        <v>0</v>
      </c>
      <c r="J22" s="39">
        <f t="shared" si="6"/>
        <v>0</v>
      </c>
      <c r="K22" s="39">
        <f t="shared" si="10"/>
        <v>0</v>
      </c>
      <c r="L22" s="39">
        <f t="shared" si="7"/>
        <v>0</v>
      </c>
      <c r="M22" s="39">
        <f t="shared" si="5"/>
        <v>0</v>
      </c>
      <c r="N22" s="39">
        <f t="shared" si="5"/>
        <v>0</v>
      </c>
      <c r="O22" s="39">
        <f t="shared" si="8"/>
        <v>2515</v>
      </c>
      <c r="P22" s="39">
        <f t="shared" si="8"/>
        <v>0</v>
      </c>
      <c r="Q22" s="39">
        <f t="shared" si="9"/>
        <v>0</v>
      </c>
      <c r="R22" s="41">
        <f t="shared" si="11"/>
        <v>0</v>
      </c>
      <c r="S22" s="41" t="e">
        <f t="shared" si="11"/>
        <v>#DIV/0!</v>
      </c>
      <c r="T22" s="41" t="e">
        <f t="shared" si="2"/>
        <v>#DIV/0!</v>
      </c>
      <c r="U22" s="37"/>
      <c r="V22" s="37"/>
      <c r="W22" s="37"/>
      <c r="X22" s="54"/>
      <c r="Y22" s="54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42"/>
      <c r="BI22" s="43"/>
      <c r="BJ22" s="43"/>
      <c r="BK22" s="43"/>
      <c r="BL22" s="43"/>
    </row>
    <row r="23" spans="1:64" ht="15.75" hidden="1" customHeight="1" x14ac:dyDescent="0.25">
      <c r="A23" s="49"/>
      <c r="B23" s="50"/>
      <c r="C23" s="205" t="s">
        <v>71</v>
      </c>
      <c r="D23" s="204" t="s">
        <v>83</v>
      </c>
      <c r="E23" s="37"/>
      <c r="F23" s="52"/>
      <c r="G23" s="52"/>
      <c r="H23" s="53"/>
      <c r="I23" s="39">
        <f t="shared" ref="I23:K38" si="12">U23+X23+AA23+AD23+AG23+AJ23+AM23+AP23+AS23+AV23+AY23+BB23</f>
        <v>0</v>
      </c>
      <c r="J23" s="39">
        <f t="shared" si="12"/>
        <v>0</v>
      </c>
      <c r="K23" s="39">
        <f t="shared" si="10"/>
        <v>0</v>
      </c>
      <c r="L23" s="39">
        <f t="shared" si="7"/>
        <v>0</v>
      </c>
      <c r="M23" s="39">
        <f t="shared" si="5"/>
        <v>0</v>
      </c>
      <c r="N23" s="39">
        <f t="shared" si="5"/>
        <v>0</v>
      </c>
      <c r="O23" s="39">
        <f t="shared" si="8"/>
        <v>0</v>
      </c>
      <c r="P23" s="39">
        <f t="shared" si="8"/>
        <v>0</v>
      </c>
      <c r="Q23" s="39">
        <f t="shared" si="9"/>
        <v>0</v>
      </c>
      <c r="R23" s="41" t="e">
        <f t="shared" si="11"/>
        <v>#DIV/0!</v>
      </c>
      <c r="S23" s="41" t="e">
        <f t="shared" si="11"/>
        <v>#DIV/0!</v>
      </c>
      <c r="T23" s="41" t="e">
        <f t="shared" si="2"/>
        <v>#DIV/0!</v>
      </c>
      <c r="U23" s="37"/>
      <c r="V23" s="37"/>
      <c r="W23" s="37"/>
      <c r="X23" s="54"/>
      <c r="Y23" s="54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42"/>
      <c r="BI23" s="43"/>
      <c r="BJ23" s="43"/>
      <c r="BK23" s="43"/>
      <c r="BL23" s="43"/>
    </row>
    <row r="24" spans="1:64" ht="15.75" hidden="1" customHeight="1" x14ac:dyDescent="0.25">
      <c r="A24" s="49"/>
      <c r="B24" s="50"/>
      <c r="C24" s="205" t="s">
        <v>62</v>
      </c>
      <c r="D24" s="204" t="s">
        <v>84</v>
      </c>
      <c r="E24" s="37"/>
      <c r="F24" s="52"/>
      <c r="G24" s="52"/>
      <c r="H24" s="53"/>
      <c r="I24" s="39">
        <f t="shared" si="12"/>
        <v>0</v>
      </c>
      <c r="J24" s="39">
        <f t="shared" si="12"/>
        <v>0</v>
      </c>
      <c r="K24" s="39">
        <f t="shared" si="10"/>
        <v>0</v>
      </c>
      <c r="L24" s="39">
        <f t="shared" si="7"/>
        <v>0</v>
      </c>
      <c r="M24" s="39">
        <f t="shared" si="5"/>
        <v>0</v>
      </c>
      <c r="N24" s="39">
        <f t="shared" si="5"/>
        <v>0</v>
      </c>
      <c r="O24" s="39">
        <f t="shared" si="8"/>
        <v>0</v>
      </c>
      <c r="P24" s="39">
        <f t="shared" si="8"/>
        <v>0</v>
      </c>
      <c r="Q24" s="39">
        <f t="shared" si="9"/>
        <v>0</v>
      </c>
      <c r="R24" s="41" t="e">
        <f t="shared" si="11"/>
        <v>#DIV/0!</v>
      </c>
      <c r="S24" s="41" t="e">
        <f t="shared" si="11"/>
        <v>#DIV/0!</v>
      </c>
      <c r="T24" s="41" t="e">
        <f t="shared" si="2"/>
        <v>#DIV/0!</v>
      </c>
      <c r="U24" s="37"/>
      <c r="V24" s="37"/>
      <c r="W24" s="37"/>
      <c r="X24" s="54"/>
      <c r="Y24" s="54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42"/>
      <c r="BI24" s="43"/>
      <c r="BJ24" s="43"/>
      <c r="BK24" s="43"/>
      <c r="BL24" s="43"/>
    </row>
    <row r="25" spans="1:64" ht="15.75" customHeight="1" x14ac:dyDescent="0.25">
      <c r="A25" s="55"/>
      <c r="B25" s="50" t="s">
        <v>85</v>
      </c>
      <c r="C25" s="205" t="s">
        <v>86</v>
      </c>
      <c r="D25" s="204" t="s">
        <v>87</v>
      </c>
      <c r="E25" s="37">
        <v>0</v>
      </c>
      <c r="F25" s="52">
        <f>9000</f>
        <v>9000</v>
      </c>
      <c r="G25" s="52"/>
      <c r="H25" s="53"/>
      <c r="I25" s="39">
        <f t="shared" si="12"/>
        <v>0</v>
      </c>
      <c r="J25" s="39">
        <f t="shared" si="12"/>
        <v>9000</v>
      </c>
      <c r="K25" s="39">
        <f t="shared" si="10"/>
        <v>0</v>
      </c>
      <c r="L25" s="39">
        <f t="shared" si="7"/>
        <v>0</v>
      </c>
      <c r="M25" s="39">
        <f t="shared" si="5"/>
        <v>9000</v>
      </c>
      <c r="N25" s="39">
        <f t="shared" si="5"/>
        <v>0</v>
      </c>
      <c r="O25" s="39">
        <f t="shared" si="8"/>
        <v>0</v>
      </c>
      <c r="P25" s="39">
        <f t="shared" si="8"/>
        <v>0</v>
      </c>
      <c r="Q25" s="39">
        <f t="shared" si="9"/>
        <v>0</v>
      </c>
      <c r="R25" s="41" t="e">
        <f t="shared" si="11"/>
        <v>#DIV/0!</v>
      </c>
      <c r="S25" s="41">
        <f t="shared" si="11"/>
        <v>1</v>
      </c>
      <c r="T25" s="41" t="e">
        <f t="shared" si="2"/>
        <v>#DIV/0!</v>
      </c>
      <c r="U25" s="62"/>
      <c r="V25" s="37"/>
      <c r="W25" s="37"/>
      <c r="X25" s="54"/>
      <c r="Y25" s="54">
        <f>9000</f>
        <v>9000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42"/>
      <c r="BI25" s="43"/>
      <c r="BJ25" s="43"/>
      <c r="BK25" s="43"/>
      <c r="BL25" s="43"/>
    </row>
    <row r="26" spans="1:64" ht="15.75" customHeight="1" x14ac:dyDescent="0.25">
      <c r="A26" s="55"/>
      <c r="B26" s="50" t="s">
        <v>88</v>
      </c>
      <c r="C26" s="205" t="s">
        <v>89</v>
      </c>
      <c r="D26" s="204" t="s">
        <v>90</v>
      </c>
      <c r="E26" s="37"/>
      <c r="F26" s="52">
        <f>16240+16500</f>
        <v>32740</v>
      </c>
      <c r="G26" s="52"/>
      <c r="H26" s="53"/>
      <c r="I26" s="39">
        <f t="shared" si="12"/>
        <v>0</v>
      </c>
      <c r="J26" s="39">
        <f t="shared" si="12"/>
        <v>16500</v>
      </c>
      <c r="K26" s="39">
        <f t="shared" si="10"/>
        <v>0</v>
      </c>
      <c r="L26" s="39">
        <f t="shared" si="7"/>
        <v>0</v>
      </c>
      <c r="M26" s="39">
        <f t="shared" si="5"/>
        <v>16500</v>
      </c>
      <c r="N26" s="39">
        <f t="shared" si="5"/>
        <v>0</v>
      </c>
      <c r="O26" s="39">
        <f t="shared" si="8"/>
        <v>0</v>
      </c>
      <c r="P26" s="39">
        <f t="shared" si="8"/>
        <v>16240</v>
      </c>
      <c r="Q26" s="39">
        <f t="shared" si="9"/>
        <v>0</v>
      </c>
      <c r="R26" s="41" t="e">
        <f t="shared" si="11"/>
        <v>#DIV/0!</v>
      </c>
      <c r="S26" s="41">
        <f t="shared" si="11"/>
        <v>0.50397067806963958</v>
      </c>
      <c r="T26" s="41" t="e">
        <f t="shared" si="2"/>
        <v>#DIV/0!</v>
      </c>
      <c r="U26" s="37"/>
      <c r="V26" s="37"/>
      <c r="W26" s="37"/>
      <c r="X26" s="54"/>
      <c r="Y26" s="54">
        <v>16500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42"/>
      <c r="BI26" s="43"/>
      <c r="BJ26" s="43"/>
      <c r="BK26" s="43"/>
      <c r="BL26" s="43"/>
    </row>
    <row r="27" spans="1:64" ht="15.75" customHeight="1" x14ac:dyDescent="0.25">
      <c r="A27" s="55"/>
      <c r="B27" s="50"/>
      <c r="C27" s="205" t="s">
        <v>91</v>
      </c>
      <c r="D27" s="204" t="s">
        <v>92</v>
      </c>
      <c r="E27" s="63">
        <f>4448.55</f>
        <v>4448.55</v>
      </c>
      <c r="F27" s="64"/>
      <c r="G27" s="52"/>
      <c r="H27" s="53"/>
      <c r="I27" s="39">
        <f t="shared" si="12"/>
        <v>4448.55</v>
      </c>
      <c r="J27" s="39">
        <f t="shared" si="12"/>
        <v>0</v>
      </c>
      <c r="K27" s="39">
        <f t="shared" si="10"/>
        <v>0</v>
      </c>
      <c r="L27" s="39">
        <f t="shared" si="7"/>
        <v>4448.55</v>
      </c>
      <c r="M27" s="39">
        <f t="shared" si="5"/>
        <v>0</v>
      </c>
      <c r="N27" s="39">
        <f t="shared" si="5"/>
        <v>0</v>
      </c>
      <c r="O27" s="39">
        <f t="shared" si="8"/>
        <v>0</v>
      </c>
      <c r="P27" s="39">
        <f t="shared" si="8"/>
        <v>0</v>
      </c>
      <c r="Q27" s="39">
        <f t="shared" si="9"/>
        <v>0</v>
      </c>
      <c r="R27" s="41">
        <f t="shared" si="11"/>
        <v>1</v>
      </c>
      <c r="S27" s="41" t="e">
        <f t="shared" si="11"/>
        <v>#DIV/0!</v>
      </c>
      <c r="T27" s="41" t="e">
        <f t="shared" si="2"/>
        <v>#DIV/0!</v>
      </c>
      <c r="U27" s="37"/>
      <c r="V27" s="37"/>
      <c r="W27" s="37"/>
      <c r="X27" s="54"/>
      <c r="Y27" s="54"/>
      <c r="Z27" s="37"/>
      <c r="AA27" s="37"/>
      <c r="AB27" s="37"/>
      <c r="AC27" s="37"/>
      <c r="AD27" s="37"/>
      <c r="AE27" s="37"/>
      <c r="AF27" s="37"/>
      <c r="AG27" s="65">
        <f>4448.55</f>
        <v>4448.55</v>
      </c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42"/>
      <c r="BI27" s="43"/>
      <c r="BJ27" s="43"/>
      <c r="BK27" s="43"/>
      <c r="BL27" s="43"/>
    </row>
    <row r="28" spans="1:64" ht="15.75" x14ac:dyDescent="0.25">
      <c r="A28" s="66" t="s">
        <v>93</v>
      </c>
      <c r="B28" s="67" t="s">
        <v>94</v>
      </c>
      <c r="C28" s="205" t="s">
        <v>42</v>
      </c>
      <c r="D28" s="204" t="s">
        <v>95</v>
      </c>
      <c r="E28" s="37">
        <f>468.9+166.72</f>
        <v>635.62</v>
      </c>
      <c r="F28" s="52">
        <f>288.24</f>
        <v>288.24</v>
      </c>
      <c r="G28" s="52"/>
      <c r="H28" s="53"/>
      <c r="I28" s="39">
        <f>U28+X28+AA28+AD28+AG28+AJ28+AM28+AP28+AS28+AV28+AY28+BB28</f>
        <v>628.72</v>
      </c>
      <c r="J28" s="39">
        <f>V28+Y28+AB28+AE28+AH28+AK28+AN28+AQ28+AT28+AW28+AZ28+BC28</f>
        <v>288.24</v>
      </c>
      <c r="K28" s="39">
        <f t="shared" si="10"/>
        <v>0</v>
      </c>
      <c r="L28" s="39">
        <f t="shared" si="7"/>
        <v>628.72</v>
      </c>
      <c r="M28" s="39">
        <f t="shared" si="5"/>
        <v>288.24</v>
      </c>
      <c r="N28" s="39">
        <f t="shared" si="5"/>
        <v>0</v>
      </c>
      <c r="O28" s="39">
        <f t="shared" si="8"/>
        <v>6.8999999999999773</v>
      </c>
      <c r="P28" s="39">
        <f t="shared" si="8"/>
        <v>0</v>
      </c>
      <c r="Q28" s="39">
        <f t="shared" si="9"/>
        <v>0</v>
      </c>
      <c r="R28" s="41">
        <f t="shared" si="11"/>
        <v>0.98914445738019574</v>
      </c>
      <c r="S28" s="41">
        <f t="shared" si="11"/>
        <v>1</v>
      </c>
      <c r="T28" s="41" t="e">
        <f t="shared" si="2"/>
        <v>#DIV/0!</v>
      </c>
      <c r="U28" s="37"/>
      <c r="V28" s="37"/>
      <c r="W28" s="37"/>
      <c r="X28" s="37">
        <f>462</f>
        <v>462</v>
      </c>
      <c r="Y28" s="37">
        <v>288.24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>
        <f>166.72</f>
        <v>166.72</v>
      </c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42"/>
      <c r="BI28" s="43"/>
      <c r="BJ28" s="43"/>
      <c r="BK28" s="43"/>
      <c r="BL28" s="43"/>
    </row>
    <row r="29" spans="1:64" ht="15.75" hidden="1" x14ac:dyDescent="0.25">
      <c r="A29" s="66"/>
      <c r="B29" s="50"/>
      <c r="C29" s="205" t="s">
        <v>96</v>
      </c>
      <c r="D29" s="204" t="s">
        <v>97</v>
      </c>
      <c r="E29" s="37"/>
      <c r="F29" s="52"/>
      <c r="G29" s="52"/>
      <c r="H29" s="53"/>
      <c r="I29" s="39">
        <f t="shared" si="12"/>
        <v>0</v>
      </c>
      <c r="J29" s="39">
        <f t="shared" si="12"/>
        <v>0</v>
      </c>
      <c r="K29" s="39">
        <f t="shared" si="10"/>
        <v>0</v>
      </c>
      <c r="L29" s="39">
        <f t="shared" si="7"/>
        <v>0</v>
      </c>
      <c r="M29" s="39">
        <f t="shared" si="5"/>
        <v>0</v>
      </c>
      <c r="N29" s="39">
        <f t="shared" si="5"/>
        <v>0</v>
      </c>
      <c r="O29" s="39">
        <f t="shared" si="8"/>
        <v>0</v>
      </c>
      <c r="P29" s="39">
        <f t="shared" si="8"/>
        <v>0</v>
      </c>
      <c r="Q29" s="39">
        <f t="shared" si="9"/>
        <v>0</v>
      </c>
      <c r="R29" s="41" t="e">
        <f t="shared" si="11"/>
        <v>#DIV/0!</v>
      </c>
      <c r="S29" s="41" t="e">
        <f t="shared" si="11"/>
        <v>#DIV/0!</v>
      </c>
      <c r="T29" s="41" t="e">
        <f t="shared" si="2"/>
        <v>#DIV/0!</v>
      </c>
      <c r="U29" s="37"/>
      <c r="V29" s="37"/>
      <c r="W29" s="37"/>
      <c r="X29" s="54"/>
      <c r="Y29" s="54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42"/>
      <c r="BI29" s="43"/>
      <c r="BJ29" s="43"/>
      <c r="BK29" s="43"/>
      <c r="BL29" s="43"/>
    </row>
    <row r="30" spans="1:64" ht="15.75" x14ac:dyDescent="0.25">
      <c r="A30" s="49" t="s">
        <v>98</v>
      </c>
      <c r="B30" s="50"/>
      <c r="C30" s="205" t="s">
        <v>99</v>
      </c>
      <c r="D30" s="204" t="s">
        <v>100</v>
      </c>
      <c r="E30" s="37">
        <f>5000</f>
        <v>5000</v>
      </c>
      <c r="F30" s="52"/>
      <c r="G30" s="52"/>
      <c r="H30" s="53"/>
      <c r="I30" s="39">
        <f t="shared" si="12"/>
        <v>5000</v>
      </c>
      <c r="J30" s="39">
        <f t="shared" si="12"/>
        <v>0</v>
      </c>
      <c r="K30" s="39">
        <f t="shared" si="10"/>
        <v>0</v>
      </c>
      <c r="L30" s="39">
        <f t="shared" si="7"/>
        <v>5000</v>
      </c>
      <c r="M30" s="39">
        <f t="shared" si="5"/>
        <v>0</v>
      </c>
      <c r="N30" s="39">
        <f t="shared" si="5"/>
        <v>0</v>
      </c>
      <c r="O30" s="39">
        <f t="shared" si="8"/>
        <v>0</v>
      </c>
      <c r="P30" s="39">
        <f t="shared" si="8"/>
        <v>0</v>
      </c>
      <c r="Q30" s="39">
        <f t="shared" si="9"/>
        <v>0</v>
      </c>
      <c r="R30" s="41">
        <f t="shared" si="11"/>
        <v>1</v>
      </c>
      <c r="S30" s="41" t="e">
        <f t="shared" si="11"/>
        <v>#DIV/0!</v>
      </c>
      <c r="T30" s="41" t="e">
        <f t="shared" si="2"/>
        <v>#DIV/0!</v>
      </c>
      <c r="U30" s="37"/>
      <c r="V30" s="37"/>
      <c r="W30" s="37"/>
      <c r="X30" s="54"/>
      <c r="Y30" s="5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>
        <v>5000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42"/>
      <c r="BI30" s="43"/>
      <c r="BJ30" s="43"/>
      <c r="BK30" s="43"/>
      <c r="BL30" s="43"/>
    </row>
    <row r="31" spans="1:64" ht="15.75" x14ac:dyDescent="0.25">
      <c r="A31" s="56"/>
      <c r="B31" s="50" t="s">
        <v>101</v>
      </c>
      <c r="C31" s="205" t="s">
        <v>102</v>
      </c>
      <c r="D31" s="204" t="s">
        <v>103</v>
      </c>
      <c r="E31" s="37"/>
      <c r="F31" s="52">
        <f>892.6+1440.9+174+348+362.4+527.8</f>
        <v>3745.7</v>
      </c>
      <c r="G31" s="52"/>
      <c r="H31" s="53"/>
      <c r="I31" s="39">
        <f t="shared" si="12"/>
        <v>0</v>
      </c>
      <c r="J31" s="39">
        <f t="shared" si="12"/>
        <v>3383.3</v>
      </c>
      <c r="K31" s="39">
        <f t="shared" si="10"/>
        <v>0</v>
      </c>
      <c r="L31" s="39">
        <f t="shared" si="7"/>
        <v>0</v>
      </c>
      <c r="M31" s="39">
        <f t="shared" si="5"/>
        <v>3383.3</v>
      </c>
      <c r="N31" s="39">
        <f t="shared" si="5"/>
        <v>0</v>
      </c>
      <c r="O31" s="39">
        <f t="shared" si="8"/>
        <v>0</v>
      </c>
      <c r="P31" s="39">
        <f t="shared" si="8"/>
        <v>362.39999999999964</v>
      </c>
      <c r="Q31" s="39">
        <f t="shared" si="9"/>
        <v>0</v>
      </c>
      <c r="R31" s="41" t="e">
        <f t="shared" si="11"/>
        <v>#DIV/0!</v>
      </c>
      <c r="S31" s="41">
        <f t="shared" si="11"/>
        <v>0.90324905892089602</v>
      </c>
      <c r="T31" s="41" t="e">
        <f t="shared" si="2"/>
        <v>#DIV/0!</v>
      </c>
      <c r="U31" s="37"/>
      <c r="V31" s="37">
        <f>174+527.8</f>
        <v>701.8</v>
      </c>
      <c r="W31" s="37"/>
      <c r="X31" s="54"/>
      <c r="Y31" s="54">
        <f>892.6</f>
        <v>892.6</v>
      </c>
      <c r="Z31" s="37"/>
      <c r="AA31" s="37"/>
      <c r="AB31" s="37">
        <f>1440.9</f>
        <v>1440.9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348</v>
      </c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42"/>
      <c r="BI31" s="43"/>
      <c r="BJ31" s="43"/>
      <c r="BK31" s="43"/>
      <c r="BL31" s="43"/>
    </row>
    <row r="32" spans="1:64" ht="15.75" x14ac:dyDescent="0.25">
      <c r="A32" s="68" t="s">
        <v>104</v>
      </c>
      <c r="B32" s="50" t="s">
        <v>105</v>
      </c>
      <c r="C32" s="205" t="s">
        <v>102</v>
      </c>
      <c r="D32" s="204" t="s">
        <v>106</v>
      </c>
      <c r="E32" s="69">
        <f>2343.6+1407+1824.36+1180+1738.98+4775+732.84+695.92+1000.09+473.52+82.62+449.84+316.32+376.89+283.65+713-15.9</f>
        <v>18377.73</v>
      </c>
      <c r="F32" s="64">
        <f>413+1266+3806.39</f>
        <v>5485.3899999999994</v>
      </c>
      <c r="G32" s="64"/>
      <c r="H32" s="53"/>
      <c r="I32" s="39">
        <f t="shared" si="12"/>
        <v>15051.43</v>
      </c>
      <c r="J32" s="39">
        <f t="shared" si="12"/>
        <v>0</v>
      </c>
      <c r="K32" s="39">
        <f t="shared" si="10"/>
        <v>0</v>
      </c>
      <c r="L32" s="39">
        <f t="shared" si="7"/>
        <v>15051.43</v>
      </c>
      <c r="M32" s="39">
        <f t="shared" si="5"/>
        <v>0</v>
      </c>
      <c r="N32" s="39">
        <f t="shared" si="5"/>
        <v>0</v>
      </c>
      <c r="O32" s="39">
        <f t="shared" si="8"/>
        <v>3326.2999999999993</v>
      </c>
      <c r="P32" s="39">
        <f t="shared" si="8"/>
        <v>5485.3899999999994</v>
      </c>
      <c r="Q32" s="39">
        <f t="shared" si="9"/>
        <v>0</v>
      </c>
      <c r="R32" s="41">
        <f t="shared" si="11"/>
        <v>0.81900376161800181</v>
      </c>
      <c r="S32" s="41">
        <f t="shared" si="11"/>
        <v>0</v>
      </c>
      <c r="T32" s="41" t="e">
        <f t="shared" si="2"/>
        <v>#DIV/0!</v>
      </c>
      <c r="U32" s="70"/>
      <c r="V32" s="37"/>
      <c r="W32" s="70"/>
      <c r="X32" s="71"/>
      <c r="Y32" s="71"/>
      <c r="Z32" s="70"/>
      <c r="AA32" s="70"/>
      <c r="AB32" s="70"/>
      <c r="AC32" s="70"/>
      <c r="AD32" s="70">
        <v>2343.6</v>
      </c>
      <c r="AE32" s="70"/>
      <c r="AF32" s="70"/>
      <c r="AG32" s="70">
        <v>1738.98</v>
      </c>
      <c r="AH32" s="70"/>
      <c r="AI32" s="70"/>
      <c r="AJ32" s="70">
        <f>4775+732.84+82.62+1824.36</f>
        <v>7414.82</v>
      </c>
      <c r="AK32" s="70"/>
      <c r="AL32" s="70"/>
      <c r="AM32" s="70">
        <f>449.84+713+984.19+1407</f>
        <v>3554.0299999999997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42"/>
      <c r="BI32" s="43"/>
      <c r="BJ32" s="43"/>
      <c r="BK32" s="43"/>
      <c r="BL32" s="43"/>
    </row>
    <row r="33" spans="1:64" ht="15.75" hidden="1" customHeight="1" x14ac:dyDescent="0.25">
      <c r="A33" s="72"/>
      <c r="B33" s="50"/>
      <c r="C33" s="205" t="s">
        <v>107</v>
      </c>
      <c r="D33" s="204" t="s">
        <v>108</v>
      </c>
      <c r="E33" s="37"/>
      <c r="F33" s="52"/>
      <c r="G33" s="52"/>
      <c r="H33" s="53"/>
      <c r="I33" s="39">
        <f t="shared" si="12"/>
        <v>0</v>
      </c>
      <c r="J33" s="39">
        <f>Y33+AB33+AE33+AH33+AK33+AN33+AQ33+AT33+AW33+AZ33+BC33</f>
        <v>0</v>
      </c>
      <c r="K33" s="39">
        <f t="shared" si="10"/>
        <v>0</v>
      </c>
      <c r="L33" s="39">
        <f t="shared" si="7"/>
        <v>0</v>
      </c>
      <c r="M33" s="39">
        <f>IF(BF33=0,SUM(V104+Y33+AB33+AE33+AH33+AK33+AN33+AQ33+AT33+AW33+AZ33+BC33),BF33)</f>
        <v>412.5</v>
      </c>
      <c r="N33" s="39">
        <f t="shared" si="5"/>
        <v>0</v>
      </c>
      <c r="O33" s="39">
        <f t="shared" si="8"/>
        <v>0</v>
      </c>
      <c r="P33" s="39">
        <f t="shared" si="8"/>
        <v>0</v>
      </c>
      <c r="Q33" s="39">
        <f t="shared" si="9"/>
        <v>0</v>
      </c>
      <c r="R33" s="41" t="e">
        <f t="shared" si="11"/>
        <v>#DIV/0!</v>
      </c>
      <c r="S33" s="41" t="e">
        <f t="shared" si="11"/>
        <v>#DIV/0!</v>
      </c>
      <c r="T33" s="41" t="e">
        <f t="shared" si="2"/>
        <v>#DIV/0!</v>
      </c>
      <c r="U33" s="70"/>
      <c r="V33" s="58"/>
      <c r="W33" s="70"/>
      <c r="X33" s="54"/>
      <c r="Y33" s="54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42"/>
      <c r="BI33" s="43"/>
      <c r="BJ33" s="43"/>
      <c r="BK33" s="43"/>
      <c r="BL33" s="43"/>
    </row>
    <row r="34" spans="1:64" ht="15.75" customHeight="1" x14ac:dyDescent="0.25">
      <c r="A34" s="72"/>
      <c r="B34" s="50" t="s">
        <v>109</v>
      </c>
      <c r="C34" s="205" t="s">
        <v>110</v>
      </c>
      <c r="D34" s="209" t="s">
        <v>111</v>
      </c>
      <c r="E34" s="37"/>
      <c r="F34" s="52">
        <v>823388.88</v>
      </c>
      <c r="G34" s="52"/>
      <c r="H34" s="53"/>
      <c r="I34" s="39">
        <f t="shared" si="12"/>
        <v>0</v>
      </c>
      <c r="J34" s="39">
        <f t="shared" si="12"/>
        <v>532941.9</v>
      </c>
      <c r="K34" s="39">
        <f t="shared" si="12"/>
        <v>0</v>
      </c>
      <c r="L34" s="39">
        <f t="shared" si="7"/>
        <v>0</v>
      </c>
      <c r="M34" s="39">
        <f t="shared" si="5"/>
        <v>532941.9</v>
      </c>
      <c r="N34" s="39">
        <f>IF(BG34=0,SUM(W34+Z34+AC34+AF34+AI34+AL34+AO34+AR34+AU34+AX34+BA34+BD34),BG34)</f>
        <v>0</v>
      </c>
      <c r="O34" s="39">
        <f t="shared" si="8"/>
        <v>0</v>
      </c>
      <c r="P34" s="39">
        <f t="shared" si="8"/>
        <v>290446.98</v>
      </c>
      <c r="Q34" s="39">
        <f t="shared" si="9"/>
        <v>0</v>
      </c>
      <c r="R34" s="41" t="e">
        <f t="shared" si="11"/>
        <v>#DIV/0!</v>
      </c>
      <c r="S34" s="41">
        <f t="shared" si="11"/>
        <v>0.64725418686732816</v>
      </c>
      <c r="T34" s="41" t="e">
        <f t="shared" si="2"/>
        <v>#DIV/0!</v>
      </c>
      <c r="U34" s="70"/>
      <c r="V34" s="37"/>
      <c r="W34" s="70"/>
      <c r="X34" s="54"/>
      <c r="Y34" s="54"/>
      <c r="Z34" s="70"/>
      <c r="AA34" s="70"/>
      <c r="AB34" s="70">
        <v>115981.88</v>
      </c>
      <c r="AC34" s="70"/>
      <c r="AD34" s="70"/>
      <c r="AE34" s="70">
        <f>70706.47+34733.44</f>
        <v>105439.91</v>
      </c>
      <c r="AF34" s="70"/>
      <c r="AG34" s="70"/>
      <c r="AH34" s="70">
        <f>79149.79</f>
        <v>79149.789999999994</v>
      </c>
      <c r="AI34" s="70"/>
      <c r="AJ34" s="70"/>
      <c r="AK34" s="70">
        <v>87530.63</v>
      </c>
      <c r="AL34" s="70"/>
      <c r="AM34" s="70"/>
      <c r="AN34" s="70">
        <v>144839.69</v>
      </c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42"/>
      <c r="BI34" s="43"/>
      <c r="BJ34" s="43"/>
      <c r="BK34" s="43"/>
      <c r="BL34" s="43"/>
    </row>
    <row r="35" spans="1:64" ht="15.75" customHeight="1" x14ac:dyDescent="0.25">
      <c r="A35" s="72"/>
      <c r="B35" s="73" t="s">
        <v>112</v>
      </c>
      <c r="C35" s="205" t="s">
        <v>110</v>
      </c>
      <c r="D35" s="204" t="s">
        <v>113</v>
      </c>
      <c r="E35" s="37"/>
      <c r="F35" s="52">
        <v>476983.69</v>
      </c>
      <c r="G35" s="52"/>
      <c r="H35" s="53"/>
      <c r="I35" s="39">
        <f t="shared" si="12"/>
        <v>0</v>
      </c>
      <c r="J35" s="39">
        <f t="shared" si="12"/>
        <v>266350.17</v>
      </c>
      <c r="K35" s="39">
        <f t="shared" si="12"/>
        <v>0</v>
      </c>
      <c r="L35" s="39">
        <f t="shared" si="7"/>
        <v>0</v>
      </c>
      <c r="M35" s="39">
        <f t="shared" si="5"/>
        <v>266350.17</v>
      </c>
      <c r="N35" s="39">
        <f>IF(BG35=0,SUM(W35+Z35+AC35+AF35+AI35+AL35+AO35+AR35+AU35+AX35+BA35+BD35),BG35)</f>
        <v>0</v>
      </c>
      <c r="O35" s="39">
        <f t="shared" si="8"/>
        <v>0</v>
      </c>
      <c r="P35" s="39">
        <f t="shared" si="8"/>
        <v>210633.52000000002</v>
      </c>
      <c r="Q35" s="39">
        <f t="shared" si="9"/>
        <v>0</v>
      </c>
      <c r="R35" s="41" t="e">
        <f t="shared" si="11"/>
        <v>#DIV/0!</v>
      </c>
      <c r="S35" s="41">
        <f t="shared" si="11"/>
        <v>0.5584051941063225</v>
      </c>
      <c r="T35" s="41" t="e">
        <f t="shared" si="2"/>
        <v>#DIV/0!</v>
      </c>
      <c r="U35" s="70"/>
      <c r="V35" s="37"/>
      <c r="W35" s="70"/>
      <c r="X35" s="54"/>
      <c r="Y35" s="54"/>
      <c r="Z35" s="70"/>
      <c r="AA35" s="70"/>
      <c r="AB35" s="70">
        <f>61438.46</f>
        <v>61438.46</v>
      </c>
      <c r="AC35" s="70"/>
      <c r="AD35" s="70"/>
      <c r="AE35" s="70">
        <f>48772.93</f>
        <v>48772.93</v>
      </c>
      <c r="AF35" s="70"/>
      <c r="AG35" s="70"/>
      <c r="AH35" s="70">
        <v>37025.279999999999</v>
      </c>
      <c r="AI35" s="70"/>
      <c r="AJ35" s="70"/>
      <c r="AK35" s="70">
        <v>46046.57</v>
      </c>
      <c r="AL35" s="70"/>
      <c r="AM35" s="70"/>
      <c r="AN35" s="70">
        <v>73066.929999999993</v>
      </c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42"/>
      <c r="BI35" s="43"/>
      <c r="BJ35" s="43"/>
      <c r="BK35" s="43"/>
      <c r="BL35" s="43"/>
    </row>
    <row r="36" spans="1:64" ht="15.75" hidden="1" customHeight="1" x14ac:dyDescent="0.25">
      <c r="A36" s="74"/>
      <c r="B36" s="50"/>
      <c r="C36" s="205" t="s">
        <v>114</v>
      </c>
      <c r="D36" s="208" t="s">
        <v>115</v>
      </c>
      <c r="E36" s="37"/>
      <c r="F36" s="52"/>
      <c r="G36" s="52"/>
      <c r="H36" s="53"/>
      <c r="I36" s="39">
        <f t="shared" si="12"/>
        <v>0</v>
      </c>
      <c r="J36" s="39">
        <f t="shared" si="12"/>
        <v>0</v>
      </c>
      <c r="K36" s="39">
        <f t="shared" si="12"/>
        <v>0</v>
      </c>
      <c r="L36" s="39">
        <f t="shared" si="7"/>
        <v>0</v>
      </c>
      <c r="M36" s="39">
        <f t="shared" si="7"/>
        <v>0</v>
      </c>
      <c r="N36" s="39">
        <f t="shared" si="7"/>
        <v>0</v>
      </c>
      <c r="O36" s="39">
        <f t="shared" ref="O36:P45" si="13">E36-I36</f>
        <v>0</v>
      </c>
      <c r="P36" s="39">
        <f t="shared" si="13"/>
        <v>0</v>
      </c>
      <c r="Q36" s="39">
        <f t="shared" si="9"/>
        <v>0</v>
      </c>
      <c r="R36" s="41" t="e">
        <f t="shared" si="11"/>
        <v>#DIV/0!</v>
      </c>
      <c r="S36" s="41" t="e">
        <f t="shared" si="11"/>
        <v>#DIV/0!</v>
      </c>
      <c r="T36" s="41" t="e">
        <f t="shared" si="2"/>
        <v>#DIV/0!</v>
      </c>
      <c r="U36" s="70"/>
      <c r="V36" s="37"/>
      <c r="W36" s="70"/>
      <c r="X36" s="54"/>
      <c r="Y36" s="54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42"/>
      <c r="BI36" s="43"/>
      <c r="BJ36" s="43"/>
      <c r="BK36" s="43"/>
      <c r="BL36" s="43"/>
    </row>
    <row r="37" spans="1:64" ht="15.75" hidden="1" customHeight="1" x14ac:dyDescent="0.25">
      <c r="A37" s="74"/>
      <c r="B37" s="50"/>
      <c r="C37" s="205" t="s">
        <v>102</v>
      </c>
      <c r="D37" s="208" t="s">
        <v>116</v>
      </c>
      <c r="E37" s="37"/>
      <c r="F37" s="52"/>
      <c r="G37" s="52"/>
      <c r="H37" s="53"/>
      <c r="I37" s="39">
        <f t="shared" si="12"/>
        <v>0</v>
      </c>
      <c r="J37" s="39">
        <f t="shared" si="12"/>
        <v>0</v>
      </c>
      <c r="K37" s="39">
        <f t="shared" si="12"/>
        <v>0</v>
      </c>
      <c r="L37" s="39">
        <f t="shared" ref="L37:N52" si="14">IF(BE37=0,SUM(U37+X37+AA37+AD37+AG37+AJ37+AM37+AP37+AS37+AV37+AY37+BB37),BE37)</f>
        <v>0</v>
      </c>
      <c r="M37" s="39">
        <f t="shared" si="14"/>
        <v>0</v>
      </c>
      <c r="N37" s="39">
        <f t="shared" si="14"/>
        <v>0</v>
      </c>
      <c r="O37" s="39">
        <f t="shared" si="13"/>
        <v>0</v>
      </c>
      <c r="P37" s="39">
        <f t="shared" si="13"/>
        <v>0</v>
      </c>
      <c r="Q37" s="39">
        <f t="shared" si="9"/>
        <v>0</v>
      </c>
      <c r="R37" s="41" t="e">
        <f t="shared" si="11"/>
        <v>#DIV/0!</v>
      </c>
      <c r="S37" s="41" t="e">
        <f t="shared" si="11"/>
        <v>#DIV/0!</v>
      </c>
      <c r="T37" s="41" t="e">
        <f t="shared" si="2"/>
        <v>#DIV/0!</v>
      </c>
      <c r="U37" s="70"/>
      <c r="V37" s="37"/>
      <c r="W37" s="70"/>
      <c r="X37" s="54"/>
      <c r="Y37" s="54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42"/>
      <c r="BI37" s="43"/>
      <c r="BJ37" s="43"/>
      <c r="BK37" s="43"/>
      <c r="BL37" s="43"/>
    </row>
    <row r="38" spans="1:64" ht="15.75" hidden="1" customHeight="1" x14ac:dyDescent="0.25">
      <c r="A38" s="74"/>
      <c r="B38" s="50"/>
      <c r="C38" s="205" t="s">
        <v>117</v>
      </c>
      <c r="D38" s="208" t="s">
        <v>118</v>
      </c>
      <c r="E38" s="37"/>
      <c r="F38" s="52"/>
      <c r="G38" s="52"/>
      <c r="H38" s="53"/>
      <c r="I38" s="39">
        <f t="shared" si="12"/>
        <v>0</v>
      </c>
      <c r="J38" s="39">
        <f t="shared" si="12"/>
        <v>0</v>
      </c>
      <c r="K38" s="39">
        <f t="shared" si="12"/>
        <v>0</v>
      </c>
      <c r="L38" s="39">
        <f t="shared" si="14"/>
        <v>0</v>
      </c>
      <c r="M38" s="39">
        <f t="shared" si="14"/>
        <v>0</v>
      </c>
      <c r="N38" s="39">
        <f t="shared" si="14"/>
        <v>0</v>
      </c>
      <c r="O38" s="39">
        <f t="shared" si="13"/>
        <v>0</v>
      </c>
      <c r="P38" s="39">
        <f t="shared" si="13"/>
        <v>0</v>
      </c>
      <c r="Q38" s="39">
        <f t="shared" si="9"/>
        <v>0</v>
      </c>
      <c r="R38" s="41" t="e">
        <f t="shared" si="11"/>
        <v>#DIV/0!</v>
      </c>
      <c r="S38" s="41" t="e">
        <f t="shared" si="11"/>
        <v>#DIV/0!</v>
      </c>
      <c r="T38" s="41" t="e">
        <f t="shared" si="2"/>
        <v>#DIV/0!</v>
      </c>
      <c r="U38" s="70"/>
      <c r="V38" s="37"/>
      <c r="W38" s="70"/>
      <c r="X38" s="54"/>
      <c r="Y38" s="54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42"/>
      <c r="BI38" s="43"/>
      <c r="BJ38" s="43"/>
      <c r="BK38" s="43"/>
      <c r="BL38" s="43"/>
    </row>
    <row r="39" spans="1:64" ht="15.75" hidden="1" customHeight="1" x14ac:dyDescent="0.25">
      <c r="A39" s="75"/>
      <c r="B39" s="50"/>
      <c r="C39" s="205" t="s">
        <v>74</v>
      </c>
      <c r="D39" s="208" t="s">
        <v>119</v>
      </c>
      <c r="E39" s="69"/>
      <c r="F39" s="64"/>
      <c r="G39" s="64"/>
      <c r="H39" s="53"/>
      <c r="I39" s="39">
        <f t="shared" ref="I39:K47" si="15">U39+X39+AA39+AD39+AG39+AJ39+AM39+AP39+AS39+AV39+AY39+BB39</f>
        <v>0</v>
      </c>
      <c r="J39" s="39">
        <f t="shared" si="15"/>
        <v>0</v>
      </c>
      <c r="K39" s="39">
        <f t="shared" si="15"/>
        <v>0</v>
      </c>
      <c r="L39" s="39">
        <f t="shared" si="14"/>
        <v>0</v>
      </c>
      <c r="M39" s="39">
        <f t="shared" si="14"/>
        <v>0</v>
      </c>
      <c r="N39" s="39">
        <f t="shared" si="14"/>
        <v>0</v>
      </c>
      <c r="O39" s="39">
        <f t="shared" si="13"/>
        <v>0</v>
      </c>
      <c r="P39" s="39">
        <f t="shared" si="13"/>
        <v>0</v>
      </c>
      <c r="Q39" s="39">
        <f t="shared" si="9"/>
        <v>0</v>
      </c>
      <c r="R39" s="41" t="e">
        <f t="shared" si="11"/>
        <v>#DIV/0!</v>
      </c>
      <c r="S39" s="41" t="e">
        <f t="shared" si="11"/>
        <v>#DIV/0!</v>
      </c>
      <c r="T39" s="41" t="e">
        <f t="shared" si="2"/>
        <v>#DIV/0!</v>
      </c>
      <c r="U39" s="37"/>
      <c r="V39" s="37"/>
      <c r="W39" s="37"/>
      <c r="X39" s="71"/>
      <c r="Y39" s="71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42"/>
      <c r="BI39" s="43"/>
      <c r="BJ39" s="43"/>
      <c r="BK39" s="43"/>
      <c r="BL39" s="43"/>
    </row>
    <row r="40" spans="1:64" ht="15.75" hidden="1" customHeight="1" x14ac:dyDescent="0.25">
      <c r="A40" s="75"/>
      <c r="B40" s="50"/>
      <c r="C40" s="205" t="s">
        <v>120</v>
      </c>
      <c r="D40" s="208" t="s">
        <v>121</v>
      </c>
      <c r="E40" s="63"/>
      <c r="F40" s="64"/>
      <c r="G40" s="64"/>
      <c r="H40" s="53"/>
      <c r="I40" s="39">
        <f t="shared" si="15"/>
        <v>0</v>
      </c>
      <c r="J40" s="39">
        <f t="shared" si="15"/>
        <v>0</v>
      </c>
      <c r="K40" s="39">
        <f t="shared" si="15"/>
        <v>0</v>
      </c>
      <c r="L40" s="39">
        <f t="shared" si="14"/>
        <v>0</v>
      </c>
      <c r="M40" s="39">
        <f t="shared" si="14"/>
        <v>0</v>
      </c>
      <c r="N40" s="39">
        <f t="shared" si="14"/>
        <v>0</v>
      </c>
      <c r="O40" s="39">
        <f t="shared" si="13"/>
        <v>0</v>
      </c>
      <c r="P40" s="39">
        <f t="shared" si="13"/>
        <v>0</v>
      </c>
      <c r="Q40" s="39">
        <f t="shared" si="9"/>
        <v>0</v>
      </c>
      <c r="R40" s="41" t="e">
        <f t="shared" si="11"/>
        <v>#DIV/0!</v>
      </c>
      <c r="S40" s="41" t="e">
        <f t="shared" si="11"/>
        <v>#DIV/0!</v>
      </c>
      <c r="T40" s="41" t="e">
        <f t="shared" si="2"/>
        <v>#DIV/0!</v>
      </c>
      <c r="U40" s="37"/>
      <c r="V40" s="37"/>
      <c r="W40" s="37"/>
      <c r="X40" s="54"/>
      <c r="Y40" s="5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42"/>
      <c r="BI40" s="43"/>
      <c r="BJ40" s="43"/>
      <c r="BK40" s="43"/>
      <c r="BL40" s="43"/>
    </row>
    <row r="41" spans="1:64" ht="15.75" hidden="1" customHeight="1" x14ac:dyDescent="0.25">
      <c r="A41" s="75"/>
      <c r="B41" s="50"/>
      <c r="C41" s="205" t="s">
        <v>58</v>
      </c>
      <c r="D41" s="208" t="s">
        <v>122</v>
      </c>
      <c r="E41" s="37"/>
      <c r="F41" s="76"/>
      <c r="G41" s="76"/>
      <c r="H41" s="53"/>
      <c r="I41" s="39">
        <f t="shared" si="15"/>
        <v>0</v>
      </c>
      <c r="J41" s="39">
        <f t="shared" si="15"/>
        <v>0</v>
      </c>
      <c r="K41" s="39">
        <f t="shared" si="15"/>
        <v>0</v>
      </c>
      <c r="L41" s="39">
        <f t="shared" si="14"/>
        <v>0</v>
      </c>
      <c r="M41" s="39">
        <f t="shared" si="14"/>
        <v>0</v>
      </c>
      <c r="N41" s="39">
        <f t="shared" si="14"/>
        <v>0</v>
      </c>
      <c r="O41" s="39">
        <f t="shared" si="13"/>
        <v>0</v>
      </c>
      <c r="P41" s="39">
        <f t="shared" si="13"/>
        <v>0</v>
      </c>
      <c r="Q41" s="39">
        <f t="shared" si="9"/>
        <v>0</v>
      </c>
      <c r="R41" s="41" t="e">
        <f t="shared" si="11"/>
        <v>#DIV/0!</v>
      </c>
      <c r="S41" s="41" t="e">
        <f t="shared" si="11"/>
        <v>#DIV/0!</v>
      </c>
      <c r="T41" s="41" t="e">
        <f t="shared" si="2"/>
        <v>#DIV/0!</v>
      </c>
      <c r="U41" s="37"/>
      <c r="V41" s="37"/>
      <c r="W41" s="37"/>
      <c r="X41" s="54"/>
      <c r="Y41" s="54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42"/>
      <c r="BI41" s="43"/>
      <c r="BJ41" s="43"/>
      <c r="BK41" s="43"/>
      <c r="BL41" s="43"/>
    </row>
    <row r="42" spans="1:64" ht="15.75" customHeight="1" x14ac:dyDescent="0.25">
      <c r="A42" s="75"/>
      <c r="B42" s="50" t="s">
        <v>123</v>
      </c>
      <c r="C42" s="210" t="s">
        <v>124</v>
      </c>
      <c r="D42" s="211" t="s">
        <v>125</v>
      </c>
      <c r="E42" s="37"/>
      <c r="F42" s="76">
        <v>34415.78</v>
      </c>
      <c r="G42" s="76"/>
      <c r="H42" s="53"/>
      <c r="I42" s="39">
        <f t="shared" si="15"/>
        <v>0</v>
      </c>
      <c r="J42" s="39">
        <f t="shared" si="15"/>
        <v>10324.73</v>
      </c>
      <c r="K42" s="39">
        <f t="shared" si="15"/>
        <v>0</v>
      </c>
      <c r="L42" s="39">
        <f t="shared" si="14"/>
        <v>0</v>
      </c>
      <c r="M42" s="39">
        <f t="shared" si="14"/>
        <v>10324.73</v>
      </c>
      <c r="N42" s="39">
        <f t="shared" si="14"/>
        <v>0</v>
      </c>
      <c r="O42" s="39">
        <f t="shared" si="13"/>
        <v>0</v>
      </c>
      <c r="P42" s="39">
        <f t="shared" si="13"/>
        <v>24091.05</v>
      </c>
      <c r="Q42" s="39">
        <f t="shared" si="9"/>
        <v>0</v>
      </c>
      <c r="R42" s="41" t="e">
        <f t="shared" si="11"/>
        <v>#DIV/0!</v>
      </c>
      <c r="S42" s="41">
        <f t="shared" si="11"/>
        <v>0.29999988377424541</v>
      </c>
      <c r="T42" s="41" t="e">
        <f t="shared" si="2"/>
        <v>#DIV/0!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>
        <v>10324.73</v>
      </c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42"/>
      <c r="BI42" s="43"/>
      <c r="BJ42" s="43"/>
      <c r="BK42" s="43"/>
      <c r="BL42" s="43"/>
    </row>
    <row r="43" spans="1:64" ht="15.75" customHeight="1" x14ac:dyDescent="0.25">
      <c r="A43" s="75"/>
      <c r="B43" s="50" t="s">
        <v>126</v>
      </c>
      <c r="C43" s="210" t="s">
        <v>124</v>
      </c>
      <c r="D43" s="211" t="s">
        <v>127</v>
      </c>
      <c r="E43" s="37"/>
      <c r="F43" s="76">
        <v>15982.5</v>
      </c>
      <c r="G43" s="76"/>
      <c r="H43" s="53"/>
      <c r="I43" s="39">
        <f t="shared" si="15"/>
        <v>0</v>
      </c>
      <c r="J43" s="39">
        <f t="shared" si="15"/>
        <v>15982.5</v>
      </c>
      <c r="K43" s="39">
        <f t="shared" si="15"/>
        <v>0</v>
      </c>
      <c r="L43" s="39">
        <f t="shared" si="14"/>
        <v>0</v>
      </c>
      <c r="M43" s="39">
        <f t="shared" si="14"/>
        <v>15982.5</v>
      </c>
      <c r="N43" s="39">
        <f t="shared" si="14"/>
        <v>0</v>
      </c>
      <c r="O43" s="39">
        <f t="shared" si="13"/>
        <v>0</v>
      </c>
      <c r="P43" s="39">
        <f t="shared" si="13"/>
        <v>0</v>
      </c>
      <c r="Q43" s="39">
        <f t="shared" si="9"/>
        <v>0</v>
      </c>
      <c r="R43" s="41" t="e">
        <f t="shared" si="11"/>
        <v>#DIV/0!</v>
      </c>
      <c r="S43" s="41">
        <f t="shared" si="11"/>
        <v>1</v>
      </c>
      <c r="T43" s="41" t="e">
        <f t="shared" si="2"/>
        <v>#DIV/0!</v>
      </c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>
        <v>15982.5</v>
      </c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42"/>
      <c r="BI43" s="43"/>
      <c r="BJ43" s="43"/>
      <c r="BK43" s="43"/>
      <c r="BL43" s="43"/>
    </row>
    <row r="44" spans="1:64" ht="15.75" customHeight="1" x14ac:dyDescent="0.25">
      <c r="A44" s="75" t="s">
        <v>128</v>
      </c>
      <c r="B44" s="50"/>
      <c r="C44" s="210" t="s">
        <v>129</v>
      </c>
      <c r="D44" s="211" t="s">
        <v>130</v>
      </c>
      <c r="E44" s="37">
        <f>481.98+27.08+902.65+115.52</f>
        <v>1527.23</v>
      </c>
      <c r="F44" s="58"/>
      <c r="G44" s="58"/>
      <c r="H44" s="53"/>
      <c r="I44" s="39">
        <f t="shared" si="15"/>
        <v>1527.23</v>
      </c>
      <c r="J44" s="39">
        <f t="shared" si="15"/>
        <v>0</v>
      </c>
      <c r="K44" s="39">
        <f t="shared" si="15"/>
        <v>0</v>
      </c>
      <c r="L44" s="39">
        <f t="shared" si="14"/>
        <v>1527.23</v>
      </c>
      <c r="M44" s="39">
        <f t="shared" si="14"/>
        <v>0</v>
      </c>
      <c r="N44" s="39">
        <f t="shared" si="14"/>
        <v>0</v>
      </c>
      <c r="O44" s="39">
        <f t="shared" si="13"/>
        <v>0</v>
      </c>
      <c r="P44" s="39">
        <f t="shared" si="13"/>
        <v>0</v>
      </c>
      <c r="Q44" s="39">
        <f t="shared" si="9"/>
        <v>0</v>
      </c>
      <c r="R44" s="41">
        <f t="shared" si="11"/>
        <v>1</v>
      </c>
      <c r="S44" s="41" t="e">
        <f t="shared" si="11"/>
        <v>#DIV/0!</v>
      </c>
      <c r="T44" s="41" t="e">
        <f t="shared" si="2"/>
        <v>#DIV/0!</v>
      </c>
      <c r="U44" s="37">
        <f>27.08</f>
        <v>27.08</v>
      </c>
      <c r="V44" s="37"/>
      <c r="W44" s="37"/>
      <c r="X44" s="37"/>
      <c r="Y44" s="37"/>
      <c r="Z44" s="37"/>
      <c r="AA44" s="37"/>
      <c r="AB44" s="37"/>
      <c r="AC44" s="37"/>
      <c r="AD44" s="37">
        <f>481.98</f>
        <v>481.98</v>
      </c>
      <c r="AE44" s="37"/>
      <c r="AF44" s="37"/>
      <c r="AG44" s="37"/>
      <c r="AH44" s="37"/>
      <c r="AI44" s="37"/>
      <c r="AJ44" s="37">
        <f>115.52+902.65</f>
        <v>1018.17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42"/>
      <c r="BI44" s="43"/>
      <c r="BJ44" s="43"/>
      <c r="BK44" s="43"/>
      <c r="BL44" s="43"/>
    </row>
    <row r="45" spans="1:64" ht="15.75" customHeight="1" x14ac:dyDescent="0.25">
      <c r="A45" s="75" t="s">
        <v>131</v>
      </c>
      <c r="B45" s="75"/>
      <c r="C45" s="203" t="s">
        <v>132</v>
      </c>
      <c r="D45" s="212" t="s">
        <v>133</v>
      </c>
      <c r="E45" s="37">
        <v>83</v>
      </c>
      <c r="F45" s="76"/>
      <c r="G45" s="76"/>
      <c r="H45" s="38"/>
      <c r="I45" s="39">
        <f t="shared" si="15"/>
        <v>83</v>
      </c>
      <c r="J45" s="39">
        <f t="shared" si="15"/>
        <v>0</v>
      </c>
      <c r="K45" s="39">
        <f t="shared" si="15"/>
        <v>0</v>
      </c>
      <c r="L45" s="39">
        <f t="shared" si="14"/>
        <v>83</v>
      </c>
      <c r="M45" s="39">
        <f t="shared" si="14"/>
        <v>0</v>
      </c>
      <c r="N45" s="39">
        <f t="shared" si="14"/>
        <v>0</v>
      </c>
      <c r="O45" s="39">
        <f t="shared" si="13"/>
        <v>0</v>
      </c>
      <c r="P45" s="39">
        <f t="shared" si="13"/>
        <v>0</v>
      </c>
      <c r="Q45" s="39">
        <f t="shared" si="9"/>
        <v>0</v>
      </c>
      <c r="R45" s="41">
        <f t="shared" si="11"/>
        <v>1</v>
      </c>
      <c r="S45" s="41" t="e">
        <f t="shared" si="11"/>
        <v>#DIV/0!</v>
      </c>
      <c r="T45" s="41" t="e">
        <f t="shared" si="2"/>
        <v>#DIV/0!</v>
      </c>
      <c r="U45" s="37"/>
      <c r="V45" s="37"/>
      <c r="W45" s="37"/>
      <c r="X45" s="37"/>
      <c r="Y45" s="37"/>
      <c r="Z45" s="37"/>
      <c r="AA45" s="37"/>
      <c r="AB45" s="37"/>
      <c r="AC45" s="37"/>
      <c r="AD45" s="37">
        <v>83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42"/>
      <c r="BI45" s="43"/>
      <c r="BJ45" s="43"/>
      <c r="BK45" s="43"/>
      <c r="BL45" s="43"/>
    </row>
    <row r="46" spans="1:64" ht="21" x14ac:dyDescent="0.25">
      <c r="A46" s="30"/>
      <c r="B46" s="30"/>
      <c r="C46" s="30" t="s">
        <v>134</v>
      </c>
      <c r="D46" s="30"/>
      <c r="E46" s="32">
        <f>E47+E53+E54+E55+E56+E57+E60+E64+E69</f>
        <v>60904.97</v>
      </c>
      <c r="F46" s="32">
        <f>F47+F53+F54+F55+F56+F57+F60+F64+F69</f>
        <v>461692.3</v>
      </c>
      <c r="G46" s="32">
        <f t="shared" ref="G46:K46" si="16">G47+G53+G54+G55+G56+G57+G60+G64+G69</f>
        <v>0</v>
      </c>
      <c r="H46" s="32">
        <f t="shared" si="16"/>
        <v>0</v>
      </c>
      <c r="I46" s="32">
        <f>I47+I53+I54+I55+I56+I57+I60+I64+I69</f>
        <v>40466.14</v>
      </c>
      <c r="J46" s="32">
        <f>J47+J53+J54+J55+J56+J57+J60+J64+J69</f>
        <v>458680.34</v>
      </c>
      <c r="K46" s="32">
        <f t="shared" si="16"/>
        <v>0</v>
      </c>
      <c r="L46" s="32">
        <f t="shared" si="14"/>
        <v>40466.14</v>
      </c>
      <c r="M46" s="32">
        <f t="shared" si="14"/>
        <v>458680.33999999997</v>
      </c>
      <c r="N46" s="32">
        <f t="shared" si="14"/>
        <v>0</v>
      </c>
      <c r="O46" s="32">
        <f>O47+O53+O54+O55+O56+O57+O60+O64+O69</f>
        <v>20438.830000000002</v>
      </c>
      <c r="P46" s="32">
        <f>P47+P53+P54+P55+P56+P57+P60+P64+P69</f>
        <v>3011.96</v>
      </c>
      <c r="Q46" s="32">
        <f>Q47+Q53+Q54+Q55+Q56+Q57+Q60+Q64+Q69</f>
        <v>0</v>
      </c>
      <c r="R46" s="33">
        <f t="shared" si="11"/>
        <v>0.66441441478421215</v>
      </c>
      <c r="S46" s="33">
        <f t="shared" si="11"/>
        <v>0.9934762611375586</v>
      </c>
      <c r="T46" s="33" t="e">
        <f t="shared" si="2"/>
        <v>#DIV/0!</v>
      </c>
      <c r="U46" s="32">
        <f t="shared" ref="U46:BG46" si="17">U47+U53+U54+U55+U56+U57+U60+U64+U69</f>
        <v>0</v>
      </c>
      <c r="V46" s="32">
        <f t="shared" si="17"/>
        <v>3523.0600000000004</v>
      </c>
      <c r="W46" s="32">
        <f t="shared" si="17"/>
        <v>0</v>
      </c>
      <c r="X46" s="32">
        <f t="shared" si="17"/>
        <v>0</v>
      </c>
      <c r="Y46" s="32">
        <f t="shared" si="17"/>
        <v>3848.8500000000004</v>
      </c>
      <c r="Z46" s="32">
        <f t="shared" si="17"/>
        <v>0</v>
      </c>
      <c r="AA46" s="32">
        <f t="shared" si="17"/>
        <v>2918.32</v>
      </c>
      <c r="AB46" s="32">
        <f t="shared" si="17"/>
        <v>90937.34</v>
      </c>
      <c r="AC46" s="32">
        <f t="shared" si="17"/>
        <v>0</v>
      </c>
      <c r="AD46" s="32">
        <f t="shared" si="17"/>
        <v>2918.32</v>
      </c>
      <c r="AE46" s="32">
        <f t="shared" si="17"/>
        <v>309427.32</v>
      </c>
      <c r="AF46" s="32">
        <f t="shared" si="17"/>
        <v>0</v>
      </c>
      <c r="AG46" s="32">
        <f>AG47+AG53+AG54+AG55+AG56+AG57+AG60+AG64+AG69</f>
        <v>20446.54</v>
      </c>
      <c r="AH46" s="32">
        <f t="shared" si="17"/>
        <v>41883.300000000003</v>
      </c>
      <c r="AI46" s="32">
        <f t="shared" si="17"/>
        <v>0</v>
      </c>
      <c r="AJ46" s="32">
        <f t="shared" si="17"/>
        <v>4274.1100000000006</v>
      </c>
      <c r="AK46" s="32">
        <f t="shared" si="17"/>
        <v>8778.7999999999993</v>
      </c>
      <c r="AL46" s="32">
        <f t="shared" si="17"/>
        <v>0</v>
      </c>
      <c r="AM46" s="32">
        <f t="shared" si="17"/>
        <v>9908.85</v>
      </c>
      <c r="AN46" s="32">
        <f t="shared" si="17"/>
        <v>281.66999999999996</v>
      </c>
      <c r="AO46" s="32">
        <f t="shared" si="17"/>
        <v>0</v>
      </c>
      <c r="AP46" s="32">
        <f t="shared" si="17"/>
        <v>0</v>
      </c>
      <c r="AQ46" s="32">
        <f t="shared" si="17"/>
        <v>0</v>
      </c>
      <c r="AR46" s="32">
        <f t="shared" si="17"/>
        <v>0</v>
      </c>
      <c r="AS46" s="32">
        <f t="shared" si="17"/>
        <v>0</v>
      </c>
      <c r="AT46" s="32">
        <f t="shared" si="17"/>
        <v>0</v>
      </c>
      <c r="AU46" s="32">
        <f t="shared" si="17"/>
        <v>0</v>
      </c>
      <c r="AV46" s="32">
        <f t="shared" si="17"/>
        <v>0</v>
      </c>
      <c r="AW46" s="32">
        <f t="shared" si="17"/>
        <v>0</v>
      </c>
      <c r="AX46" s="32">
        <f t="shared" si="17"/>
        <v>0</v>
      </c>
      <c r="AY46" s="32">
        <f t="shared" si="17"/>
        <v>0</v>
      </c>
      <c r="AZ46" s="32">
        <f t="shared" si="17"/>
        <v>0</v>
      </c>
      <c r="BA46" s="32">
        <f t="shared" si="17"/>
        <v>0</v>
      </c>
      <c r="BB46" s="32">
        <f t="shared" si="17"/>
        <v>0</v>
      </c>
      <c r="BC46" s="32">
        <f t="shared" si="17"/>
        <v>0</v>
      </c>
      <c r="BD46" s="32">
        <f t="shared" si="17"/>
        <v>0</v>
      </c>
      <c r="BE46" s="32">
        <f t="shared" si="17"/>
        <v>0</v>
      </c>
      <c r="BF46" s="32">
        <f t="shared" si="17"/>
        <v>0</v>
      </c>
      <c r="BG46" s="32">
        <f t="shared" si="17"/>
        <v>0</v>
      </c>
      <c r="BH46" s="78"/>
      <c r="BI46" s="79"/>
      <c r="BJ46" s="79"/>
      <c r="BK46" s="79"/>
      <c r="BL46" s="79"/>
    </row>
    <row r="47" spans="1:64" ht="15.75" customHeight="1" x14ac:dyDescent="0.25">
      <c r="A47" s="80"/>
      <c r="B47" s="80"/>
      <c r="C47" s="81"/>
      <c r="D47" s="82" t="s">
        <v>135</v>
      </c>
      <c r="E47" s="83">
        <f>SUM(E48:E52)</f>
        <v>28676.75</v>
      </c>
      <c r="F47" s="83">
        <f>SUM(F48:F56)</f>
        <v>11496.14</v>
      </c>
      <c r="G47" s="83"/>
      <c r="H47" s="83">
        <f>SUM(H48:H49)</f>
        <v>0</v>
      </c>
      <c r="I47" s="83">
        <f>SUM(I48:I52)</f>
        <v>15307.92</v>
      </c>
      <c r="J47" s="83">
        <f>SUM(J48:J52)</f>
        <v>8484.18</v>
      </c>
      <c r="K47" s="83">
        <f>SUM(K48:K49)</f>
        <v>0</v>
      </c>
      <c r="L47" s="25">
        <f>IF(BE47=0,SUM(U47+X47+AA47+AD47+AG47+AJ47+AM47+AP47+AS47+AV47+AY47+BB47),BE47)</f>
        <v>15307.920000000002</v>
      </c>
      <c r="M47" s="25">
        <f>IF(BF47=0,SUM(V47+Y47+AB47+AE47+AH47+AK47+AN47+AQ47+AT47+AW47+AZ47+BC47),BF47)</f>
        <v>8484.1800000000021</v>
      </c>
      <c r="N47" s="25">
        <f t="shared" si="14"/>
        <v>0</v>
      </c>
      <c r="O47" s="83">
        <f>SUM(O48:O52)</f>
        <v>13368.830000000002</v>
      </c>
      <c r="P47" s="83">
        <f>SUM(P48:P52)</f>
        <v>3011.96</v>
      </c>
      <c r="Q47" s="83">
        <f>SUM(Q48:Q52)</f>
        <v>0</v>
      </c>
      <c r="R47" s="84">
        <f t="shared" si="11"/>
        <v>0.53380944493361349</v>
      </c>
      <c r="S47" s="84">
        <f t="shared" si="11"/>
        <v>0.73800249475041191</v>
      </c>
      <c r="T47" s="84" t="e">
        <f t="shared" si="2"/>
        <v>#DIV/0!</v>
      </c>
      <c r="U47" s="83">
        <f>SUM(U48:U49)</f>
        <v>0</v>
      </c>
      <c r="V47" s="83">
        <f>SUM(V48:V52)</f>
        <v>3523.0600000000004</v>
      </c>
      <c r="W47" s="83">
        <f>SUM(W48:W49)</f>
        <v>0</v>
      </c>
      <c r="X47" s="83">
        <f>SUM(X48:X49)</f>
        <v>0</v>
      </c>
      <c r="Y47" s="83">
        <f>SUM(Y48:Y52)</f>
        <v>3492.6700000000005</v>
      </c>
      <c r="Z47" s="83">
        <f t="shared" ref="Z47:BG47" si="18">SUM(Z48:Z49)</f>
        <v>0</v>
      </c>
      <c r="AA47" s="83">
        <f>SUM(AA48:AA52)</f>
        <v>2918.32</v>
      </c>
      <c r="AB47" s="83">
        <f>SUM(AB48:AB52)</f>
        <v>517.04</v>
      </c>
      <c r="AC47" s="83">
        <f t="shared" si="18"/>
        <v>0</v>
      </c>
      <c r="AD47" s="83">
        <f>SUM(AD48:AD52)</f>
        <v>2918.32</v>
      </c>
      <c r="AE47" s="83">
        <f>SUM(AE48:AE52)</f>
        <v>477.64</v>
      </c>
      <c r="AF47" s="83">
        <f t="shared" si="18"/>
        <v>0</v>
      </c>
      <c r="AG47" s="83">
        <f>SUM(AG48:AG52)</f>
        <v>2918.32</v>
      </c>
      <c r="AH47" s="83">
        <f>SUM(AH48:AH52)</f>
        <v>83.3</v>
      </c>
      <c r="AI47" s="83">
        <f t="shared" si="18"/>
        <v>0</v>
      </c>
      <c r="AJ47" s="83">
        <f>SUM(AJ48:AJ52)</f>
        <v>3494.11</v>
      </c>
      <c r="AK47" s="83">
        <f>SUM(AK48:AK52)</f>
        <v>108.8</v>
      </c>
      <c r="AL47" s="83">
        <f t="shared" si="18"/>
        <v>0</v>
      </c>
      <c r="AM47" s="83">
        <f>SUM(AM48:AM52)</f>
        <v>3058.8500000000004</v>
      </c>
      <c r="AN47" s="83">
        <f t="shared" si="18"/>
        <v>281.66999999999996</v>
      </c>
      <c r="AO47" s="83">
        <f t="shared" si="18"/>
        <v>0</v>
      </c>
      <c r="AP47" s="83">
        <f t="shared" si="18"/>
        <v>0</v>
      </c>
      <c r="AQ47" s="83">
        <f t="shared" si="18"/>
        <v>0</v>
      </c>
      <c r="AR47" s="83">
        <f t="shared" si="18"/>
        <v>0</v>
      </c>
      <c r="AS47" s="83">
        <f t="shared" si="18"/>
        <v>0</v>
      </c>
      <c r="AT47" s="83">
        <f t="shared" si="18"/>
        <v>0</v>
      </c>
      <c r="AU47" s="83">
        <f t="shared" si="18"/>
        <v>0</v>
      </c>
      <c r="AV47" s="83">
        <f t="shared" si="18"/>
        <v>0</v>
      </c>
      <c r="AW47" s="83">
        <f t="shared" si="18"/>
        <v>0</v>
      </c>
      <c r="AX47" s="83">
        <f t="shared" si="18"/>
        <v>0</v>
      </c>
      <c r="AY47" s="83">
        <f t="shared" si="18"/>
        <v>0</v>
      </c>
      <c r="AZ47" s="83">
        <f t="shared" si="18"/>
        <v>0</v>
      </c>
      <c r="BA47" s="83">
        <f t="shared" si="18"/>
        <v>0</v>
      </c>
      <c r="BB47" s="83">
        <f t="shared" si="18"/>
        <v>0</v>
      </c>
      <c r="BC47" s="83">
        <f t="shared" si="18"/>
        <v>0</v>
      </c>
      <c r="BD47" s="83">
        <f t="shared" si="18"/>
        <v>0</v>
      </c>
      <c r="BE47" s="83">
        <f t="shared" si="18"/>
        <v>0</v>
      </c>
      <c r="BF47" s="83">
        <f t="shared" si="18"/>
        <v>0</v>
      </c>
      <c r="BG47" s="83">
        <f t="shared" si="18"/>
        <v>0</v>
      </c>
      <c r="BH47" s="85"/>
      <c r="BI47" s="86"/>
      <c r="BJ47" s="86"/>
      <c r="BK47" s="86"/>
      <c r="BL47" s="86"/>
    </row>
    <row r="48" spans="1:64" ht="15.75" customHeight="1" x14ac:dyDescent="0.25">
      <c r="A48" s="87" t="s">
        <v>136</v>
      </c>
      <c r="B48" s="67" t="s">
        <v>137</v>
      </c>
      <c r="C48" s="205" t="s">
        <v>138</v>
      </c>
      <c r="D48" s="204" t="s">
        <v>139</v>
      </c>
      <c r="E48" s="88">
        <f>900+450+450+2250</f>
        <v>4050</v>
      </c>
      <c r="F48" s="52">
        <f>1546.43+35.56+281.67</f>
        <v>1863.66</v>
      </c>
      <c r="G48" s="52"/>
      <c r="H48" s="89"/>
      <c r="I48" s="39">
        <f>U48+X48+AA48+AD48+AG48+AJ48+AM48+AP48+AS48+AV48+AY48+BB48</f>
        <v>716.31999999999994</v>
      </c>
      <c r="J48" s="39">
        <f>V48+Y48+AB48+AE48+AH48+AK48+AN48+AQ48+AT48+AW48+AZ48+BC48</f>
        <v>1701.4700000000003</v>
      </c>
      <c r="K48" s="39">
        <f>W48+Z48+AC48+AF48+AI48+AL48+AO48+AR48+AU48+AX48+BA48+BD48</f>
        <v>0</v>
      </c>
      <c r="L48" s="39">
        <f t="shared" si="14"/>
        <v>716.31999999999994</v>
      </c>
      <c r="M48" s="39">
        <f t="shared" si="14"/>
        <v>1701.4700000000003</v>
      </c>
      <c r="N48" s="39">
        <f t="shared" si="14"/>
        <v>0</v>
      </c>
      <c r="O48" s="39">
        <f>E48-I48</f>
        <v>3333.6800000000003</v>
      </c>
      <c r="P48" s="39">
        <f>F48-J48</f>
        <v>162.18999999999983</v>
      </c>
      <c r="Q48" s="39">
        <f t="shared" ref="Q48:Q56" si="19">H48-K48</f>
        <v>0</v>
      </c>
      <c r="R48" s="41">
        <f t="shared" si="11"/>
        <v>0.17686913580246913</v>
      </c>
      <c r="S48" s="41">
        <f t="shared" si="11"/>
        <v>0.91297232327785116</v>
      </c>
      <c r="T48" s="41" t="e">
        <f t="shared" si="2"/>
        <v>#DIV/0!</v>
      </c>
      <c r="U48" s="37"/>
      <c r="V48" s="37">
        <v>338.21</v>
      </c>
      <c r="W48" s="37"/>
      <c r="X48" s="37"/>
      <c r="Y48" s="54">
        <v>442.57</v>
      </c>
      <c r="Z48" s="37"/>
      <c r="AA48" s="37"/>
      <c r="AB48" s="37">
        <v>350.6</v>
      </c>
      <c r="AC48" s="37"/>
      <c r="AD48" s="37"/>
      <c r="AE48" s="37">
        <v>288.42</v>
      </c>
      <c r="AF48" s="37"/>
      <c r="AG48" s="37"/>
      <c r="AH48" s="37"/>
      <c r="AI48" s="37"/>
      <c r="AJ48" s="37">
        <f>299.73+276.06</f>
        <v>575.79</v>
      </c>
      <c r="AK48" s="37"/>
      <c r="AL48" s="37"/>
      <c r="AM48" s="37">
        <v>140.53</v>
      </c>
      <c r="AN48" s="37">
        <f>422.2-140.53</f>
        <v>281.66999999999996</v>
      </c>
      <c r="AO48" s="37"/>
      <c r="AP48" s="37"/>
      <c r="AQ48" s="27"/>
      <c r="AR48" s="27"/>
      <c r="AS48" s="37"/>
      <c r="AT48" s="27"/>
      <c r="AU48" s="27"/>
      <c r="AV48" s="37"/>
      <c r="AW48" s="27"/>
      <c r="AX48" s="27"/>
      <c r="AY48" s="37"/>
      <c r="AZ48" s="27"/>
      <c r="BA48" s="27"/>
      <c r="BB48" s="37"/>
      <c r="BC48" s="27"/>
      <c r="BD48" s="27"/>
      <c r="BE48" s="37"/>
      <c r="BF48" s="27"/>
      <c r="BG48" s="27"/>
      <c r="BH48" s="42"/>
      <c r="BI48" s="90"/>
      <c r="BJ48" s="90"/>
      <c r="BK48" s="90"/>
      <c r="BL48" s="90"/>
    </row>
    <row r="49" spans="1:64" ht="15.75" customHeight="1" x14ac:dyDescent="0.25">
      <c r="A49" s="66" t="s">
        <v>140</v>
      </c>
      <c r="B49" s="67" t="s">
        <v>141</v>
      </c>
      <c r="C49" s="205" t="s">
        <v>142</v>
      </c>
      <c r="D49" s="204" t="s">
        <v>143</v>
      </c>
      <c r="E49" s="37">
        <f>2491.59+2491.59+2491.59+2491.59+2491.59+2491.59+4983.18</f>
        <v>19932.72</v>
      </c>
      <c r="F49" s="52">
        <v>4983.18</v>
      </c>
      <c r="G49" s="52"/>
      <c r="H49" s="89"/>
      <c r="I49" s="39">
        <f t="shared" ref="I49:K56" si="20">U49+X49+AA49+AD49+AG49+AJ49+AM49+AP49+AS49+AV49+AY49+BB49</f>
        <v>12457.95</v>
      </c>
      <c r="J49" s="39">
        <f t="shared" si="20"/>
        <v>4983.18</v>
      </c>
      <c r="K49" s="39">
        <f t="shared" si="20"/>
        <v>0</v>
      </c>
      <c r="L49" s="39">
        <f t="shared" si="14"/>
        <v>12457.95</v>
      </c>
      <c r="M49" s="39">
        <f t="shared" si="14"/>
        <v>4983.18</v>
      </c>
      <c r="N49" s="39">
        <f t="shared" si="14"/>
        <v>0</v>
      </c>
      <c r="O49" s="39">
        <f>E49-I49</f>
        <v>7474.77</v>
      </c>
      <c r="P49" s="39">
        <f>F49-J49</f>
        <v>0</v>
      </c>
      <c r="Q49" s="39">
        <f t="shared" si="19"/>
        <v>0</v>
      </c>
      <c r="R49" s="41">
        <f t="shared" ref="R49:S64" si="21">I49/E49</f>
        <v>0.625</v>
      </c>
      <c r="S49" s="41">
        <f t="shared" si="21"/>
        <v>1</v>
      </c>
      <c r="T49" s="41" t="e">
        <f t="shared" si="2"/>
        <v>#DIV/0!</v>
      </c>
      <c r="U49" s="37"/>
      <c r="V49" s="37">
        <v>2491.59</v>
      </c>
      <c r="W49" s="37"/>
      <c r="X49" s="37"/>
      <c r="Y49" s="54">
        <v>2491.59</v>
      </c>
      <c r="Z49" s="37"/>
      <c r="AA49" s="37">
        <f>2491.59</f>
        <v>2491.59</v>
      </c>
      <c r="AB49" s="37"/>
      <c r="AC49" s="37"/>
      <c r="AD49" s="37">
        <v>2491.59</v>
      </c>
      <c r="AE49" s="37"/>
      <c r="AF49" s="37"/>
      <c r="AG49" s="37">
        <f>2491.59</f>
        <v>2491.59</v>
      </c>
      <c r="AH49" s="37"/>
      <c r="AI49" s="37"/>
      <c r="AJ49" s="37">
        <v>2491.59</v>
      </c>
      <c r="AK49" s="37"/>
      <c r="AL49" s="37"/>
      <c r="AM49" s="37">
        <v>2491.59</v>
      </c>
      <c r="AN49" s="37"/>
      <c r="AO49" s="37"/>
      <c r="AP49" s="37"/>
      <c r="AQ49" s="27"/>
      <c r="AR49" s="27"/>
      <c r="AS49" s="27"/>
      <c r="AT49" s="27"/>
      <c r="AU49" s="27"/>
      <c r="AV49" s="27"/>
      <c r="AW49" s="27"/>
      <c r="AX49" s="27"/>
      <c r="AY49" s="37"/>
      <c r="AZ49" s="27"/>
      <c r="BA49" s="27"/>
      <c r="BB49" s="27"/>
      <c r="BC49" s="27"/>
      <c r="BD49" s="27"/>
      <c r="BE49" s="27"/>
      <c r="BF49" s="27"/>
      <c r="BG49" s="27"/>
      <c r="BH49" s="42"/>
      <c r="BI49" s="90"/>
      <c r="BJ49" s="90"/>
      <c r="BK49" s="90"/>
      <c r="BL49" s="90"/>
    </row>
    <row r="50" spans="1:64" ht="15.75" customHeight="1" x14ac:dyDescent="0.25">
      <c r="A50" s="66" t="s">
        <v>144</v>
      </c>
      <c r="B50" s="67" t="s">
        <v>145</v>
      </c>
      <c r="C50" s="205" t="s">
        <v>71</v>
      </c>
      <c r="D50" s="204" t="s">
        <v>146</v>
      </c>
      <c r="E50" s="37">
        <f>426.73+426.73+426.73+426.73+426.73+426.73+2133.65</f>
        <v>4694.0300000000007</v>
      </c>
      <c r="F50" s="52">
        <v>853.46</v>
      </c>
      <c r="G50" s="52"/>
      <c r="H50" s="89"/>
      <c r="I50" s="39">
        <f t="shared" si="20"/>
        <v>2133.65</v>
      </c>
      <c r="J50" s="39">
        <f t="shared" si="20"/>
        <v>853.46</v>
      </c>
      <c r="K50" s="39">
        <f t="shared" si="20"/>
        <v>0</v>
      </c>
      <c r="L50" s="39">
        <f t="shared" si="14"/>
        <v>2133.65</v>
      </c>
      <c r="M50" s="39">
        <f t="shared" si="14"/>
        <v>853.46</v>
      </c>
      <c r="N50" s="39">
        <f t="shared" si="14"/>
        <v>0</v>
      </c>
      <c r="O50" s="39">
        <f t="shared" ref="O50:P56" si="22">E50-I50</f>
        <v>2560.3800000000006</v>
      </c>
      <c r="P50" s="39">
        <f t="shared" si="22"/>
        <v>0</v>
      </c>
      <c r="Q50" s="39">
        <f t="shared" si="19"/>
        <v>0</v>
      </c>
      <c r="R50" s="41">
        <f t="shared" si="21"/>
        <v>0.45454545454545447</v>
      </c>
      <c r="S50" s="41">
        <f t="shared" si="21"/>
        <v>1</v>
      </c>
      <c r="T50" s="41" t="e">
        <f t="shared" si="2"/>
        <v>#DIV/0!</v>
      </c>
      <c r="U50" s="37"/>
      <c r="V50" s="37">
        <v>426.73</v>
      </c>
      <c r="W50" s="37"/>
      <c r="X50" s="37"/>
      <c r="Y50" s="54">
        <v>426.73</v>
      </c>
      <c r="Z50" s="37"/>
      <c r="AA50" s="37">
        <f>426.73</f>
        <v>426.73</v>
      </c>
      <c r="AB50" s="37"/>
      <c r="AC50" s="37"/>
      <c r="AD50" s="37">
        <v>426.73</v>
      </c>
      <c r="AE50" s="37"/>
      <c r="AF50" s="37"/>
      <c r="AG50" s="37">
        <f>426.73</f>
        <v>426.73</v>
      </c>
      <c r="AH50" s="37"/>
      <c r="AI50" s="37"/>
      <c r="AJ50" s="37">
        <v>426.73</v>
      </c>
      <c r="AK50" s="37"/>
      <c r="AL50" s="37"/>
      <c r="AM50" s="37">
        <v>426.73</v>
      </c>
      <c r="AN50" s="37"/>
      <c r="AO50" s="37"/>
      <c r="AP50" s="37"/>
      <c r="AQ50" s="27"/>
      <c r="AR50" s="27"/>
      <c r="AS50" s="27"/>
      <c r="AT50" s="27"/>
      <c r="AU50" s="27"/>
      <c r="AV50" s="27"/>
      <c r="AW50" s="27"/>
      <c r="AX50" s="27"/>
      <c r="AY50" s="37"/>
      <c r="AZ50" s="27"/>
      <c r="BA50" s="27"/>
      <c r="BB50" s="27"/>
      <c r="BC50" s="27"/>
      <c r="BD50" s="27"/>
      <c r="BE50" s="27"/>
      <c r="BF50" s="27"/>
      <c r="BG50" s="27"/>
      <c r="BH50" s="42"/>
      <c r="BI50" s="90"/>
      <c r="BJ50" s="90"/>
      <c r="BK50" s="90"/>
      <c r="BL50" s="90"/>
    </row>
    <row r="51" spans="1:64" ht="15.75" hidden="1" customHeight="1" x14ac:dyDescent="0.25">
      <c r="A51" s="66"/>
      <c r="B51" s="73"/>
      <c r="C51" s="205" t="s">
        <v>147</v>
      </c>
      <c r="D51" s="204" t="s">
        <v>148</v>
      </c>
      <c r="E51" s="37"/>
      <c r="F51" s="52"/>
      <c r="G51" s="52"/>
      <c r="H51" s="89"/>
      <c r="I51" s="39">
        <f t="shared" si="20"/>
        <v>0</v>
      </c>
      <c r="J51" s="39">
        <f t="shared" si="20"/>
        <v>0</v>
      </c>
      <c r="K51" s="39">
        <f t="shared" si="20"/>
        <v>0</v>
      </c>
      <c r="L51" s="39">
        <f t="shared" si="14"/>
        <v>0</v>
      </c>
      <c r="M51" s="39">
        <f t="shared" si="14"/>
        <v>0</v>
      </c>
      <c r="N51" s="39">
        <f t="shared" si="14"/>
        <v>0</v>
      </c>
      <c r="O51" s="39">
        <f t="shared" si="22"/>
        <v>0</v>
      </c>
      <c r="P51" s="39">
        <f t="shared" si="22"/>
        <v>0</v>
      </c>
      <c r="Q51" s="39">
        <f t="shared" si="19"/>
        <v>0</v>
      </c>
      <c r="R51" s="41" t="e">
        <f t="shared" si="21"/>
        <v>#DIV/0!</v>
      </c>
      <c r="S51" s="41" t="e">
        <f t="shared" si="21"/>
        <v>#DIV/0!</v>
      </c>
      <c r="T51" s="41" t="e">
        <f t="shared" si="2"/>
        <v>#DIV/0!</v>
      </c>
      <c r="U51" s="37"/>
      <c r="V51" s="37"/>
      <c r="W51" s="37"/>
      <c r="X51" s="37"/>
      <c r="Y51" s="54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27"/>
      <c r="AR51" s="27"/>
      <c r="AS51" s="27"/>
      <c r="AT51" s="27"/>
      <c r="AU51" s="27"/>
      <c r="AV51" s="27"/>
      <c r="AW51" s="27"/>
      <c r="AX51" s="27"/>
      <c r="AY51" s="37"/>
      <c r="AZ51" s="27"/>
      <c r="BA51" s="27"/>
      <c r="BB51" s="27"/>
      <c r="BC51" s="27"/>
      <c r="BD51" s="27"/>
      <c r="BE51" s="27"/>
      <c r="BF51" s="27"/>
      <c r="BG51" s="27"/>
      <c r="BH51" s="42"/>
      <c r="BI51" s="90"/>
      <c r="BJ51" s="90"/>
      <c r="BK51" s="90"/>
      <c r="BL51" s="90"/>
    </row>
    <row r="52" spans="1:64" ht="15.75" customHeight="1" x14ac:dyDescent="0.25">
      <c r="A52" s="66"/>
      <c r="B52" s="67" t="s">
        <v>149</v>
      </c>
      <c r="C52" s="205" t="s">
        <v>150</v>
      </c>
      <c r="D52" s="204" t="s">
        <v>151</v>
      </c>
      <c r="E52" s="37"/>
      <c r="F52" s="52">
        <v>3795.84</v>
      </c>
      <c r="G52" s="52"/>
      <c r="H52" s="89"/>
      <c r="I52" s="39">
        <f t="shared" si="20"/>
        <v>0</v>
      </c>
      <c r="J52" s="39">
        <f t="shared" si="20"/>
        <v>946.06999999999994</v>
      </c>
      <c r="K52" s="39">
        <f t="shared" si="20"/>
        <v>0</v>
      </c>
      <c r="L52" s="39">
        <f t="shared" si="14"/>
        <v>0</v>
      </c>
      <c r="M52" s="39">
        <f t="shared" si="14"/>
        <v>946.06999999999994</v>
      </c>
      <c r="N52" s="39">
        <f t="shared" si="14"/>
        <v>0</v>
      </c>
      <c r="O52" s="39">
        <f t="shared" si="22"/>
        <v>0</v>
      </c>
      <c r="P52" s="39">
        <f t="shared" si="22"/>
        <v>2849.7700000000004</v>
      </c>
      <c r="Q52" s="39">
        <f t="shared" si="19"/>
        <v>0</v>
      </c>
      <c r="R52" s="41" t="e">
        <f t="shared" si="21"/>
        <v>#DIV/0!</v>
      </c>
      <c r="S52" s="41">
        <f t="shared" si="21"/>
        <v>0.24923864019558251</v>
      </c>
      <c r="T52" s="41" t="e">
        <f t="shared" si="2"/>
        <v>#DIV/0!</v>
      </c>
      <c r="U52" s="37"/>
      <c r="V52" s="37">
        <v>266.52999999999997</v>
      </c>
      <c r="W52" s="37"/>
      <c r="X52" s="37"/>
      <c r="Y52" s="54">
        <v>131.78</v>
      </c>
      <c r="Z52" s="37"/>
      <c r="AA52" s="37"/>
      <c r="AB52" s="37">
        <f>166.44</f>
        <v>166.44</v>
      </c>
      <c r="AC52" s="37"/>
      <c r="AD52" s="37"/>
      <c r="AE52" s="37">
        <v>189.22</v>
      </c>
      <c r="AF52" s="37"/>
      <c r="AG52" s="37"/>
      <c r="AH52" s="37">
        <v>83.3</v>
      </c>
      <c r="AI52" s="37"/>
      <c r="AJ52" s="37"/>
      <c r="AK52" s="37">
        <v>108.8</v>
      </c>
      <c r="AL52" s="37"/>
      <c r="AM52" s="37"/>
      <c r="AN52" s="37"/>
      <c r="AO52" s="37"/>
      <c r="AP52" s="37"/>
      <c r="AQ52" s="27"/>
      <c r="AR52" s="27"/>
      <c r="AS52" s="27"/>
      <c r="AT52" s="27"/>
      <c r="AU52" s="27"/>
      <c r="AV52" s="27"/>
      <c r="AW52" s="27"/>
      <c r="AX52" s="27"/>
      <c r="AY52" s="37"/>
      <c r="AZ52" s="27"/>
      <c r="BA52" s="27"/>
      <c r="BB52" s="27"/>
      <c r="BC52" s="27"/>
      <c r="BD52" s="27"/>
      <c r="BE52" s="27"/>
      <c r="BF52" s="27"/>
      <c r="BG52" s="27"/>
      <c r="BH52" s="42"/>
      <c r="BI52" s="90"/>
      <c r="BJ52" s="90"/>
      <c r="BK52" s="90"/>
      <c r="BL52" s="90"/>
    </row>
    <row r="53" spans="1:64" ht="14.25" customHeight="1" x14ac:dyDescent="0.25">
      <c r="A53" s="91"/>
      <c r="B53" s="91"/>
      <c r="C53" s="92"/>
      <c r="D53" s="93" t="s">
        <v>152</v>
      </c>
      <c r="E53" s="94">
        <v>8764.11</v>
      </c>
      <c r="F53" s="95"/>
      <c r="G53" s="95"/>
      <c r="H53" s="95"/>
      <c r="I53" s="39">
        <f t="shared" si="20"/>
        <v>8764.11</v>
      </c>
      <c r="J53" s="39">
        <f t="shared" si="20"/>
        <v>0</v>
      </c>
      <c r="K53" s="96">
        <f>W53+Z53+AC53+AF53+AI53+AL53+AO53+AR53+AU53+AX53+BA53+BD53</f>
        <v>0</v>
      </c>
      <c r="L53" s="39">
        <f t="shared" ref="L53:N68" si="23">IF(BE53=0,SUM(U53+X53+AA53+AD53+AG53+AJ53+AM53+AP53+AS53+AV53+AY53+BB53),BE53)</f>
        <v>8764.11</v>
      </c>
      <c r="M53" s="39">
        <f t="shared" si="23"/>
        <v>0</v>
      </c>
      <c r="N53" s="26">
        <f t="shared" si="23"/>
        <v>0</v>
      </c>
      <c r="O53" s="96">
        <f t="shared" si="22"/>
        <v>0</v>
      </c>
      <c r="P53" s="39">
        <f t="shared" si="22"/>
        <v>0</v>
      </c>
      <c r="Q53" s="96">
        <f t="shared" si="19"/>
        <v>0</v>
      </c>
      <c r="R53" s="97">
        <f t="shared" si="21"/>
        <v>1</v>
      </c>
      <c r="S53" s="97" t="e">
        <f t="shared" si="21"/>
        <v>#DIV/0!</v>
      </c>
      <c r="T53" s="97" t="e">
        <f t="shared" si="2"/>
        <v>#DIV/0!</v>
      </c>
      <c r="U53" s="98"/>
      <c r="V53" s="98"/>
      <c r="W53" s="98"/>
      <c r="X53" s="98"/>
      <c r="Y53" s="99"/>
      <c r="Z53" s="98"/>
      <c r="AA53" s="98"/>
      <c r="AB53" s="98"/>
      <c r="AC53" s="98"/>
      <c r="AD53" s="98"/>
      <c r="AE53" s="98"/>
      <c r="AF53" s="98"/>
      <c r="AG53" s="98">
        <v>8764.11</v>
      </c>
      <c r="AH53" s="98"/>
      <c r="AI53" s="98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1"/>
      <c r="BI53" s="102"/>
      <c r="BJ53" s="102"/>
      <c r="BK53" s="102"/>
      <c r="BL53" s="102"/>
    </row>
    <row r="54" spans="1:64" ht="15.75" customHeight="1" x14ac:dyDescent="0.25">
      <c r="A54" s="91"/>
      <c r="B54" s="91"/>
      <c r="C54" s="92"/>
      <c r="D54" s="93" t="s">
        <v>153</v>
      </c>
      <c r="E54" s="95"/>
      <c r="F54" s="95"/>
      <c r="G54" s="95"/>
      <c r="H54" s="95"/>
      <c r="I54" s="96">
        <f t="shared" si="20"/>
        <v>0</v>
      </c>
      <c r="J54" s="96">
        <f t="shared" si="20"/>
        <v>0</v>
      </c>
      <c r="K54" s="96">
        <f>W54+Z54+AC54+AF54+AI54+AL54+AO54+AR54+AU54+AX54+BA54+BD54</f>
        <v>0</v>
      </c>
      <c r="L54" s="26">
        <f t="shared" si="23"/>
        <v>0</v>
      </c>
      <c r="M54" s="39">
        <f t="shared" si="23"/>
        <v>0</v>
      </c>
      <c r="N54" s="39">
        <f t="shared" si="23"/>
        <v>0</v>
      </c>
      <c r="O54" s="96">
        <f t="shared" si="22"/>
        <v>0</v>
      </c>
      <c r="P54" s="96">
        <f t="shared" si="22"/>
        <v>0</v>
      </c>
      <c r="Q54" s="96">
        <f t="shared" si="19"/>
        <v>0</v>
      </c>
      <c r="R54" s="97" t="e">
        <f t="shared" si="21"/>
        <v>#DIV/0!</v>
      </c>
      <c r="S54" s="97" t="e">
        <f t="shared" si="21"/>
        <v>#DIV/0!</v>
      </c>
      <c r="T54" s="97" t="e">
        <f t="shared" si="2"/>
        <v>#DIV/0!</v>
      </c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1"/>
      <c r="BI54" s="102"/>
      <c r="BJ54" s="102"/>
      <c r="BK54" s="102"/>
      <c r="BL54" s="102"/>
    </row>
    <row r="55" spans="1:64" ht="15.75" hidden="1" x14ac:dyDescent="0.25">
      <c r="A55" s="74"/>
      <c r="B55" s="74"/>
      <c r="C55" s="103"/>
      <c r="D55" s="104"/>
      <c r="E55" s="105"/>
      <c r="F55" s="105"/>
      <c r="G55" s="105"/>
      <c r="H55" s="105"/>
      <c r="I55" s="96">
        <f t="shared" si="20"/>
        <v>0</v>
      </c>
      <c r="J55" s="96">
        <f t="shared" si="20"/>
        <v>0</v>
      </c>
      <c r="K55" s="96">
        <f>W55+Z55+AC55+AF55+AI55+AL55+AO55+AR55+AU55+AX55+BA55+BD55</f>
        <v>0</v>
      </c>
      <c r="L55" s="26">
        <f t="shared" si="23"/>
        <v>0</v>
      </c>
      <c r="M55" s="26">
        <f t="shared" si="23"/>
        <v>0</v>
      </c>
      <c r="N55" s="26">
        <f t="shared" si="23"/>
        <v>0</v>
      </c>
      <c r="O55" s="96">
        <f t="shared" si="22"/>
        <v>0</v>
      </c>
      <c r="P55" s="96">
        <f t="shared" si="22"/>
        <v>0</v>
      </c>
      <c r="Q55" s="96">
        <f t="shared" si="19"/>
        <v>0</v>
      </c>
      <c r="R55" s="97" t="e">
        <f t="shared" si="21"/>
        <v>#DIV/0!</v>
      </c>
      <c r="S55" s="97" t="e">
        <f t="shared" si="21"/>
        <v>#DIV/0!</v>
      </c>
      <c r="T55" s="97" t="e">
        <f t="shared" si="2"/>
        <v>#DIV/0!</v>
      </c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1"/>
      <c r="BI55" s="102"/>
      <c r="BJ55" s="102"/>
      <c r="BK55" s="102"/>
      <c r="BL55" s="102"/>
    </row>
    <row r="56" spans="1:64" ht="15.75" hidden="1" customHeight="1" x14ac:dyDescent="0.25">
      <c r="A56" s="74"/>
      <c r="B56" s="74"/>
      <c r="C56" s="103"/>
      <c r="D56" s="107"/>
      <c r="E56" s="108"/>
      <c r="F56" s="108"/>
      <c r="G56" s="108"/>
      <c r="H56" s="108"/>
      <c r="I56" s="96">
        <f t="shared" si="20"/>
        <v>0</v>
      </c>
      <c r="J56" s="96">
        <f t="shared" si="20"/>
        <v>0</v>
      </c>
      <c r="K56" s="96">
        <f>W56+Z56+AC56+AF56+AI56+AL56+AO56+AR56+AU56+AX56+BA56+BD56</f>
        <v>0</v>
      </c>
      <c r="L56" s="26">
        <f t="shared" si="23"/>
        <v>0</v>
      </c>
      <c r="M56" s="26">
        <f t="shared" si="23"/>
        <v>0</v>
      </c>
      <c r="N56" s="26">
        <f t="shared" si="23"/>
        <v>0</v>
      </c>
      <c r="O56" s="96">
        <f t="shared" si="22"/>
        <v>0</v>
      </c>
      <c r="P56" s="96">
        <f t="shared" si="22"/>
        <v>0</v>
      </c>
      <c r="Q56" s="96">
        <f t="shared" si="19"/>
        <v>0</v>
      </c>
      <c r="R56" s="97" t="e">
        <f t="shared" si="21"/>
        <v>#DIV/0!</v>
      </c>
      <c r="S56" s="97" t="e">
        <f t="shared" si="21"/>
        <v>#DIV/0!</v>
      </c>
      <c r="T56" s="97" t="e">
        <f t="shared" si="2"/>
        <v>#DIV/0!</v>
      </c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109"/>
      <c r="BC56" s="70"/>
      <c r="BD56" s="70"/>
      <c r="BE56" s="109"/>
      <c r="BF56" s="70"/>
      <c r="BG56" s="70"/>
      <c r="BH56" s="101"/>
      <c r="BI56" s="102"/>
      <c r="BJ56" s="102"/>
      <c r="BK56" s="102"/>
      <c r="BL56" s="102"/>
    </row>
    <row r="57" spans="1:64" ht="18.75" customHeight="1" x14ac:dyDescent="0.25">
      <c r="A57" s="110"/>
      <c r="B57" s="110"/>
      <c r="C57" s="111"/>
      <c r="D57" s="112" t="s">
        <v>154</v>
      </c>
      <c r="E57" s="113">
        <f t="shared" ref="E57:K57" si="24">SUM(E58:E59)</f>
        <v>8764.11</v>
      </c>
      <c r="F57" s="113">
        <f t="shared" si="24"/>
        <v>0</v>
      </c>
      <c r="G57" s="113"/>
      <c r="H57" s="113">
        <f t="shared" si="24"/>
        <v>0</v>
      </c>
      <c r="I57" s="113">
        <f t="shared" si="24"/>
        <v>8764.11</v>
      </c>
      <c r="J57" s="113">
        <f t="shared" si="24"/>
        <v>0</v>
      </c>
      <c r="K57" s="113">
        <f t="shared" si="24"/>
        <v>0</v>
      </c>
      <c r="L57" s="25">
        <f t="shared" si="23"/>
        <v>8764.11</v>
      </c>
      <c r="M57" s="25">
        <f t="shared" si="23"/>
        <v>0</v>
      </c>
      <c r="N57" s="25">
        <f t="shared" si="23"/>
        <v>0</v>
      </c>
      <c r="O57" s="113">
        <f>SUM(O58:O59)</f>
        <v>0</v>
      </c>
      <c r="P57" s="113">
        <f>SUM(P58:P59)</f>
        <v>0</v>
      </c>
      <c r="Q57" s="113">
        <f>SUM(Q58:Q59)</f>
        <v>0</v>
      </c>
      <c r="R57" s="114">
        <f t="shared" si="21"/>
        <v>1</v>
      </c>
      <c r="S57" s="114" t="e">
        <f t="shared" si="21"/>
        <v>#DIV/0!</v>
      </c>
      <c r="T57" s="114" t="e">
        <f t="shared" si="2"/>
        <v>#DIV/0!</v>
      </c>
      <c r="U57" s="113">
        <f t="shared" ref="U57:BG57" si="25">SUM(U58:U59)</f>
        <v>0</v>
      </c>
      <c r="V57" s="113">
        <f t="shared" si="25"/>
        <v>0</v>
      </c>
      <c r="W57" s="113">
        <f t="shared" si="25"/>
        <v>0</v>
      </c>
      <c r="X57" s="113">
        <f t="shared" si="25"/>
        <v>0</v>
      </c>
      <c r="Y57" s="113">
        <f t="shared" si="25"/>
        <v>0</v>
      </c>
      <c r="Z57" s="113">
        <f t="shared" si="25"/>
        <v>0</v>
      </c>
      <c r="AA57" s="113">
        <f t="shared" si="25"/>
        <v>0</v>
      </c>
      <c r="AB57" s="113">
        <f t="shared" si="25"/>
        <v>0</v>
      </c>
      <c r="AC57" s="113">
        <f t="shared" si="25"/>
        <v>0</v>
      </c>
      <c r="AD57" s="113">
        <f t="shared" si="25"/>
        <v>0</v>
      </c>
      <c r="AE57" s="113">
        <f t="shared" si="25"/>
        <v>0</v>
      </c>
      <c r="AF57" s="113">
        <f t="shared" si="25"/>
        <v>0</v>
      </c>
      <c r="AG57" s="113">
        <f t="shared" si="25"/>
        <v>8764.11</v>
      </c>
      <c r="AH57" s="113">
        <f t="shared" si="25"/>
        <v>0</v>
      </c>
      <c r="AI57" s="113">
        <f t="shared" si="25"/>
        <v>0</v>
      </c>
      <c r="AJ57" s="113">
        <f t="shared" si="25"/>
        <v>0</v>
      </c>
      <c r="AK57" s="113">
        <f t="shared" si="25"/>
        <v>0</v>
      </c>
      <c r="AL57" s="113">
        <f t="shared" si="25"/>
        <v>0</v>
      </c>
      <c r="AM57" s="113">
        <f t="shared" si="25"/>
        <v>0</v>
      </c>
      <c r="AN57" s="113">
        <f t="shared" si="25"/>
        <v>0</v>
      </c>
      <c r="AO57" s="113">
        <f t="shared" si="25"/>
        <v>0</v>
      </c>
      <c r="AP57" s="113">
        <f t="shared" si="25"/>
        <v>0</v>
      </c>
      <c r="AQ57" s="113">
        <f t="shared" si="25"/>
        <v>0</v>
      </c>
      <c r="AR57" s="113">
        <f t="shared" si="25"/>
        <v>0</v>
      </c>
      <c r="AS57" s="113">
        <f t="shared" si="25"/>
        <v>0</v>
      </c>
      <c r="AT57" s="113">
        <f t="shared" si="25"/>
        <v>0</v>
      </c>
      <c r="AU57" s="113">
        <f t="shared" si="25"/>
        <v>0</v>
      </c>
      <c r="AV57" s="113">
        <f t="shared" si="25"/>
        <v>0</v>
      </c>
      <c r="AW57" s="113">
        <f t="shared" si="25"/>
        <v>0</v>
      </c>
      <c r="AX57" s="113">
        <f t="shared" si="25"/>
        <v>0</v>
      </c>
      <c r="AY57" s="113">
        <f t="shared" si="25"/>
        <v>0</v>
      </c>
      <c r="AZ57" s="113">
        <f t="shared" si="25"/>
        <v>0</v>
      </c>
      <c r="BA57" s="113">
        <f t="shared" si="25"/>
        <v>0</v>
      </c>
      <c r="BB57" s="113">
        <f t="shared" si="25"/>
        <v>0</v>
      </c>
      <c r="BC57" s="113">
        <f t="shared" si="25"/>
        <v>0</v>
      </c>
      <c r="BD57" s="113">
        <f t="shared" si="25"/>
        <v>0</v>
      </c>
      <c r="BE57" s="113">
        <f t="shared" si="25"/>
        <v>0</v>
      </c>
      <c r="BF57" s="113">
        <f t="shared" si="25"/>
        <v>0</v>
      </c>
      <c r="BG57" s="113">
        <f t="shared" si="25"/>
        <v>0</v>
      </c>
      <c r="BH57" s="85"/>
      <c r="BI57" s="86"/>
      <c r="BJ57" s="86"/>
      <c r="BK57" s="86"/>
      <c r="BL57" s="86"/>
    </row>
    <row r="58" spans="1:64" ht="15.75" customHeight="1" x14ac:dyDescent="0.25">
      <c r="A58" s="115"/>
      <c r="B58" s="115"/>
      <c r="C58" s="116" t="s">
        <v>102</v>
      </c>
      <c r="D58" s="117" t="s">
        <v>155</v>
      </c>
      <c r="E58" s="118">
        <v>8764.11</v>
      </c>
      <c r="F58" s="65"/>
      <c r="G58" s="65"/>
      <c r="H58" s="118"/>
      <c r="I58" s="39">
        <f t="shared" ref="I58:K59" si="26">U58+X58+AA58+AD58+AG58+AJ58+AM58+AP58+AS58+AV58+AY58+BB58</f>
        <v>8764.11</v>
      </c>
      <c r="J58" s="39">
        <f t="shared" si="26"/>
        <v>0</v>
      </c>
      <c r="K58" s="39">
        <f t="shared" si="26"/>
        <v>0</v>
      </c>
      <c r="L58" s="39">
        <f t="shared" si="23"/>
        <v>8764.11</v>
      </c>
      <c r="M58" s="39">
        <f t="shared" si="23"/>
        <v>0</v>
      </c>
      <c r="N58" s="39">
        <f t="shared" si="23"/>
        <v>0</v>
      </c>
      <c r="O58" s="39">
        <f>E58-I58</f>
        <v>0</v>
      </c>
      <c r="P58" s="39">
        <f>F58-J58</f>
        <v>0</v>
      </c>
      <c r="Q58" s="39">
        <f t="shared" ref="Q58:Q59" si="27">H58-K58</f>
        <v>0</v>
      </c>
      <c r="R58" s="41">
        <f t="shared" si="21"/>
        <v>1</v>
      </c>
      <c r="S58" s="41" t="e">
        <f t="shared" si="21"/>
        <v>#DIV/0!</v>
      </c>
      <c r="T58" s="41" t="e">
        <f t="shared" si="2"/>
        <v>#DIV/0!</v>
      </c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>
        <v>8764.11</v>
      </c>
      <c r="AH58" s="65"/>
      <c r="AI58" s="98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42"/>
      <c r="BI58" s="43"/>
      <c r="BJ58" s="43"/>
      <c r="BK58" s="43"/>
      <c r="BL58" s="43"/>
    </row>
    <row r="59" spans="1:64" ht="15.75" hidden="1" customHeight="1" x14ac:dyDescent="0.25">
      <c r="A59" s="75"/>
      <c r="B59" s="75"/>
      <c r="C59" s="35" t="s">
        <v>156</v>
      </c>
      <c r="D59" s="119" t="s">
        <v>157</v>
      </c>
      <c r="E59" s="37"/>
      <c r="F59" s="120"/>
      <c r="G59" s="120"/>
      <c r="H59" s="120"/>
      <c r="I59" s="39">
        <f t="shared" si="26"/>
        <v>0</v>
      </c>
      <c r="J59" s="39">
        <f t="shared" si="26"/>
        <v>0</v>
      </c>
      <c r="K59" s="39">
        <f t="shared" si="26"/>
        <v>0</v>
      </c>
      <c r="L59" s="26">
        <f t="shared" si="23"/>
        <v>0</v>
      </c>
      <c r="M59" s="26">
        <f t="shared" si="23"/>
        <v>0</v>
      </c>
      <c r="N59" s="26">
        <f t="shared" si="23"/>
        <v>0</v>
      </c>
      <c r="O59" s="39">
        <f>E59-I59</f>
        <v>0</v>
      </c>
      <c r="P59" s="39">
        <f>F59-J59</f>
        <v>0</v>
      </c>
      <c r="Q59" s="39">
        <f t="shared" si="27"/>
        <v>0</v>
      </c>
      <c r="R59" s="41" t="e">
        <f t="shared" si="21"/>
        <v>#DIV/0!</v>
      </c>
      <c r="S59" s="41" t="e">
        <f t="shared" si="21"/>
        <v>#DIV/0!</v>
      </c>
      <c r="T59" s="41" t="e">
        <f t="shared" si="2"/>
        <v>#DIV/0!</v>
      </c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38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38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42"/>
      <c r="BI59" s="43"/>
      <c r="BJ59" s="43"/>
      <c r="BK59" s="43"/>
      <c r="BL59" s="43"/>
    </row>
    <row r="60" spans="1:64" ht="15.75" hidden="1" customHeight="1" x14ac:dyDescent="0.25">
      <c r="A60" s="80"/>
      <c r="B60" s="80"/>
      <c r="C60" s="121"/>
      <c r="D60" s="82" t="s">
        <v>158</v>
      </c>
      <c r="E60" s="83">
        <f t="shared" ref="E60:K60" si="28">SUM(E61:E63)</f>
        <v>0</v>
      </c>
      <c r="F60" s="83">
        <f t="shared" si="28"/>
        <v>0</v>
      </c>
      <c r="G60" s="83"/>
      <c r="H60" s="83">
        <f t="shared" si="28"/>
        <v>0</v>
      </c>
      <c r="I60" s="83">
        <f t="shared" si="28"/>
        <v>0</v>
      </c>
      <c r="J60" s="83">
        <f t="shared" si="28"/>
        <v>0</v>
      </c>
      <c r="K60" s="83">
        <f t="shared" si="28"/>
        <v>0</v>
      </c>
      <c r="L60" s="25">
        <f t="shared" si="23"/>
        <v>0</v>
      </c>
      <c r="M60" s="25">
        <f t="shared" si="23"/>
        <v>0</v>
      </c>
      <c r="N60" s="25">
        <f t="shared" si="23"/>
        <v>0</v>
      </c>
      <c r="O60" s="83">
        <f>SUM(O61:O63)</f>
        <v>0</v>
      </c>
      <c r="P60" s="83">
        <f>SUM(P61:P63)</f>
        <v>0</v>
      </c>
      <c r="Q60" s="83">
        <f>SUM(Q61:Q63)</f>
        <v>0</v>
      </c>
      <c r="R60" s="122" t="e">
        <f t="shared" si="21"/>
        <v>#DIV/0!</v>
      </c>
      <c r="S60" s="122" t="e">
        <f t="shared" si="21"/>
        <v>#DIV/0!</v>
      </c>
      <c r="T60" s="122" t="e">
        <f t="shared" si="2"/>
        <v>#DIV/0!</v>
      </c>
      <c r="U60" s="83">
        <f t="shared" ref="U60:BG60" si="29">SUM(U61:U63)</f>
        <v>0</v>
      </c>
      <c r="V60" s="83">
        <f t="shared" si="29"/>
        <v>0</v>
      </c>
      <c r="W60" s="83">
        <f t="shared" si="29"/>
        <v>0</v>
      </c>
      <c r="X60" s="83">
        <f t="shared" si="29"/>
        <v>0</v>
      </c>
      <c r="Y60" s="83">
        <f t="shared" si="29"/>
        <v>0</v>
      </c>
      <c r="Z60" s="83">
        <f t="shared" si="29"/>
        <v>0</v>
      </c>
      <c r="AA60" s="83">
        <f t="shared" si="29"/>
        <v>0</v>
      </c>
      <c r="AB60" s="83">
        <f t="shared" si="29"/>
        <v>0</v>
      </c>
      <c r="AC60" s="83">
        <f t="shared" si="29"/>
        <v>0</v>
      </c>
      <c r="AD60" s="83">
        <f t="shared" si="29"/>
        <v>0</v>
      </c>
      <c r="AE60" s="83">
        <f t="shared" si="29"/>
        <v>0</v>
      </c>
      <c r="AF60" s="83">
        <f t="shared" si="29"/>
        <v>0</v>
      </c>
      <c r="AG60" s="83">
        <f t="shared" si="29"/>
        <v>0</v>
      </c>
      <c r="AH60" s="83">
        <f t="shared" si="29"/>
        <v>0</v>
      </c>
      <c r="AI60" s="83">
        <f t="shared" si="29"/>
        <v>0</v>
      </c>
      <c r="AJ60" s="83">
        <f t="shared" si="29"/>
        <v>0</v>
      </c>
      <c r="AK60" s="83">
        <f t="shared" si="29"/>
        <v>0</v>
      </c>
      <c r="AL60" s="83">
        <f t="shared" si="29"/>
        <v>0</v>
      </c>
      <c r="AM60" s="83">
        <f t="shared" si="29"/>
        <v>0</v>
      </c>
      <c r="AN60" s="83">
        <f t="shared" si="29"/>
        <v>0</v>
      </c>
      <c r="AO60" s="83">
        <f t="shared" si="29"/>
        <v>0</v>
      </c>
      <c r="AP60" s="83">
        <f t="shared" si="29"/>
        <v>0</v>
      </c>
      <c r="AQ60" s="83">
        <f t="shared" si="29"/>
        <v>0</v>
      </c>
      <c r="AR60" s="83">
        <f t="shared" si="29"/>
        <v>0</v>
      </c>
      <c r="AS60" s="83">
        <f t="shared" si="29"/>
        <v>0</v>
      </c>
      <c r="AT60" s="83">
        <f t="shared" si="29"/>
        <v>0</v>
      </c>
      <c r="AU60" s="83">
        <f t="shared" si="29"/>
        <v>0</v>
      </c>
      <c r="AV60" s="83">
        <f t="shared" si="29"/>
        <v>0</v>
      </c>
      <c r="AW60" s="83">
        <f t="shared" si="29"/>
        <v>0</v>
      </c>
      <c r="AX60" s="83">
        <f t="shared" si="29"/>
        <v>0</v>
      </c>
      <c r="AY60" s="83">
        <f t="shared" si="29"/>
        <v>0</v>
      </c>
      <c r="AZ60" s="83">
        <f t="shared" si="29"/>
        <v>0</v>
      </c>
      <c r="BA60" s="83">
        <f t="shared" si="29"/>
        <v>0</v>
      </c>
      <c r="BB60" s="83">
        <f t="shared" si="29"/>
        <v>0</v>
      </c>
      <c r="BC60" s="83">
        <f t="shared" si="29"/>
        <v>0</v>
      </c>
      <c r="BD60" s="83">
        <f t="shared" si="29"/>
        <v>0</v>
      </c>
      <c r="BE60" s="83">
        <f t="shared" si="29"/>
        <v>0</v>
      </c>
      <c r="BF60" s="83">
        <f t="shared" si="29"/>
        <v>0</v>
      </c>
      <c r="BG60" s="83">
        <f t="shared" si="29"/>
        <v>0</v>
      </c>
      <c r="BH60" s="85"/>
      <c r="BI60" s="86"/>
      <c r="BJ60" s="86"/>
      <c r="BK60" s="86"/>
      <c r="BL60" s="86"/>
    </row>
    <row r="61" spans="1:64" ht="15.75" hidden="1" customHeight="1" x14ac:dyDescent="0.25">
      <c r="A61" s="66"/>
      <c r="B61" s="34"/>
      <c r="C61" s="35" t="s">
        <v>34</v>
      </c>
      <c r="D61" s="77" t="s">
        <v>159</v>
      </c>
      <c r="E61" s="37"/>
      <c r="F61" s="37"/>
      <c r="G61" s="37"/>
      <c r="H61" s="38"/>
      <c r="I61" s="39">
        <f t="shared" ref="I61:K63" si="30">U61+X61+AA61+AD61+AG61+AJ61+AM61+AP61+AS61+AV61+AY61+BB61</f>
        <v>0</v>
      </c>
      <c r="J61" s="39">
        <f t="shared" si="30"/>
        <v>0</v>
      </c>
      <c r="K61" s="39">
        <f t="shared" si="30"/>
        <v>0</v>
      </c>
      <c r="L61" s="26">
        <f t="shared" si="23"/>
        <v>0</v>
      </c>
      <c r="M61" s="26">
        <f t="shared" si="23"/>
        <v>0</v>
      </c>
      <c r="N61" s="26">
        <f t="shared" si="23"/>
        <v>0</v>
      </c>
      <c r="O61" s="39">
        <f t="shared" ref="O61:P63" si="31">E61-I61</f>
        <v>0</v>
      </c>
      <c r="P61" s="39">
        <f t="shared" si="31"/>
        <v>0</v>
      </c>
      <c r="Q61" s="39">
        <f t="shared" ref="Q61:Q63" si="32">H61-K61</f>
        <v>0</v>
      </c>
      <c r="R61" s="41" t="e">
        <f t="shared" si="21"/>
        <v>#DIV/0!</v>
      </c>
      <c r="S61" s="41" t="e">
        <f t="shared" si="21"/>
        <v>#DIV/0!</v>
      </c>
      <c r="T61" s="41" t="e">
        <f t="shared" si="2"/>
        <v>#DIV/0!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42"/>
      <c r="BI61" s="43"/>
      <c r="BJ61" s="43"/>
      <c r="BK61" s="43"/>
      <c r="BL61" s="43"/>
    </row>
    <row r="62" spans="1:64" ht="15.75" hidden="1" customHeight="1" x14ac:dyDescent="0.25">
      <c r="A62" s="66"/>
      <c r="B62" s="75"/>
      <c r="C62" s="35" t="s">
        <v>160</v>
      </c>
      <c r="D62" s="77" t="s">
        <v>161</v>
      </c>
      <c r="E62" s="37"/>
      <c r="F62" s="37"/>
      <c r="G62" s="37"/>
      <c r="H62" s="38"/>
      <c r="I62" s="39">
        <f t="shared" si="30"/>
        <v>0</v>
      </c>
      <c r="J62" s="39">
        <f t="shared" si="30"/>
        <v>0</v>
      </c>
      <c r="K62" s="39">
        <f t="shared" si="30"/>
        <v>0</v>
      </c>
      <c r="L62" s="26">
        <f t="shared" si="23"/>
        <v>0</v>
      </c>
      <c r="M62" s="26">
        <f t="shared" si="23"/>
        <v>0</v>
      </c>
      <c r="N62" s="26">
        <f t="shared" si="23"/>
        <v>0</v>
      </c>
      <c r="O62" s="39">
        <f t="shared" si="31"/>
        <v>0</v>
      </c>
      <c r="P62" s="39">
        <f t="shared" si="31"/>
        <v>0</v>
      </c>
      <c r="Q62" s="39">
        <f t="shared" si="32"/>
        <v>0</v>
      </c>
      <c r="R62" s="41" t="e">
        <f t="shared" si="21"/>
        <v>#DIV/0!</v>
      </c>
      <c r="S62" s="41" t="e">
        <f t="shared" si="21"/>
        <v>#DIV/0!</v>
      </c>
      <c r="T62" s="41" t="e">
        <f t="shared" si="2"/>
        <v>#DIV/0!</v>
      </c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42"/>
      <c r="BI62" s="43"/>
      <c r="BJ62" s="43"/>
      <c r="BK62" s="43"/>
      <c r="BL62" s="43"/>
    </row>
    <row r="63" spans="1:64" ht="15.75" hidden="1" customHeight="1" x14ac:dyDescent="0.25">
      <c r="A63" s="75"/>
      <c r="B63" s="75"/>
      <c r="C63" s="35" t="s">
        <v>156</v>
      </c>
      <c r="D63" s="77" t="s">
        <v>162</v>
      </c>
      <c r="E63" s="88"/>
      <c r="F63" s="37"/>
      <c r="G63" s="37"/>
      <c r="H63" s="38"/>
      <c r="I63" s="39">
        <f t="shared" si="30"/>
        <v>0</v>
      </c>
      <c r="J63" s="39">
        <f t="shared" si="30"/>
        <v>0</v>
      </c>
      <c r="K63" s="39">
        <f t="shared" si="30"/>
        <v>0</v>
      </c>
      <c r="L63" s="26">
        <f t="shared" si="23"/>
        <v>0</v>
      </c>
      <c r="M63" s="26">
        <f t="shared" si="23"/>
        <v>0</v>
      </c>
      <c r="N63" s="26">
        <f t="shared" si="23"/>
        <v>0</v>
      </c>
      <c r="O63" s="39">
        <f t="shared" si="31"/>
        <v>0</v>
      </c>
      <c r="P63" s="39">
        <f t="shared" si="31"/>
        <v>0</v>
      </c>
      <c r="Q63" s="39">
        <f t="shared" si="32"/>
        <v>0</v>
      </c>
      <c r="R63" s="41" t="e">
        <f t="shared" si="21"/>
        <v>#DIV/0!</v>
      </c>
      <c r="S63" s="41" t="e">
        <f t="shared" si="21"/>
        <v>#DIV/0!</v>
      </c>
      <c r="T63" s="41" t="e">
        <f t="shared" si="2"/>
        <v>#DIV/0!</v>
      </c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42"/>
      <c r="BI63" s="43"/>
      <c r="BJ63" s="43"/>
      <c r="BK63" s="43"/>
      <c r="BL63" s="43"/>
    </row>
    <row r="64" spans="1:64" ht="15.75" customHeight="1" x14ac:dyDescent="0.25">
      <c r="A64" s="80"/>
      <c r="B64" s="80"/>
      <c r="C64" s="121"/>
      <c r="D64" s="82" t="s">
        <v>163</v>
      </c>
      <c r="E64" s="83">
        <f>SUM(E65:E68)</f>
        <v>14700</v>
      </c>
      <c r="F64" s="83">
        <f>SUM(F65:F68)</f>
        <v>31110.16</v>
      </c>
      <c r="G64" s="83"/>
      <c r="H64" s="83">
        <f t="shared" ref="H64:K64" si="33">SUM(H65:H67)</f>
        <v>0</v>
      </c>
      <c r="I64" s="83">
        <f t="shared" si="33"/>
        <v>7630</v>
      </c>
      <c r="J64" s="83">
        <f t="shared" si="33"/>
        <v>31110.160000000003</v>
      </c>
      <c r="K64" s="83">
        <f t="shared" si="33"/>
        <v>0</v>
      </c>
      <c r="L64" s="25">
        <f t="shared" si="23"/>
        <v>7630</v>
      </c>
      <c r="M64" s="25">
        <f t="shared" si="23"/>
        <v>31110.160000000003</v>
      </c>
      <c r="N64" s="25">
        <f t="shared" si="23"/>
        <v>0</v>
      </c>
      <c r="O64" s="83">
        <f>SUM(O65:O68)</f>
        <v>7070</v>
      </c>
      <c r="P64" s="83">
        <f>SUM(P65:P68)</f>
        <v>0</v>
      </c>
      <c r="Q64" s="83">
        <f>SUM(Q65:Q67)</f>
        <v>0</v>
      </c>
      <c r="R64" s="122">
        <f t="shared" si="21"/>
        <v>0.51904761904761909</v>
      </c>
      <c r="S64" s="122">
        <f t="shared" si="21"/>
        <v>1.0000000000000002</v>
      </c>
      <c r="T64" s="122" t="e">
        <f t="shared" si="2"/>
        <v>#DIV/0!</v>
      </c>
      <c r="U64" s="83">
        <f t="shared" ref="U64:BG64" si="34">SUM(U65:U67)</f>
        <v>0</v>
      </c>
      <c r="V64" s="83">
        <f t="shared" si="34"/>
        <v>0</v>
      </c>
      <c r="W64" s="83">
        <f t="shared" si="34"/>
        <v>0</v>
      </c>
      <c r="X64" s="83">
        <f t="shared" si="34"/>
        <v>0</v>
      </c>
      <c r="Y64" s="83">
        <f t="shared" si="34"/>
        <v>356.18</v>
      </c>
      <c r="Z64" s="83">
        <f t="shared" si="34"/>
        <v>0</v>
      </c>
      <c r="AA64" s="83">
        <f t="shared" si="34"/>
        <v>0</v>
      </c>
      <c r="AB64" s="83">
        <f t="shared" si="34"/>
        <v>16409.300000000003</v>
      </c>
      <c r="AC64" s="83">
        <f t="shared" si="34"/>
        <v>0</v>
      </c>
      <c r="AD64" s="83">
        <f t="shared" si="34"/>
        <v>0</v>
      </c>
      <c r="AE64" s="83">
        <f t="shared" si="34"/>
        <v>11124.68</v>
      </c>
      <c r="AF64" s="83">
        <f t="shared" si="34"/>
        <v>0</v>
      </c>
      <c r="AG64" s="83">
        <f t="shared" si="34"/>
        <v>0</v>
      </c>
      <c r="AH64" s="83">
        <f t="shared" si="34"/>
        <v>0</v>
      </c>
      <c r="AI64" s="83">
        <f t="shared" si="34"/>
        <v>0</v>
      </c>
      <c r="AJ64" s="83">
        <f t="shared" si="34"/>
        <v>780</v>
      </c>
      <c r="AK64" s="83">
        <f t="shared" si="34"/>
        <v>3220</v>
      </c>
      <c r="AL64" s="83">
        <f t="shared" si="34"/>
        <v>0</v>
      </c>
      <c r="AM64" s="83">
        <f t="shared" si="34"/>
        <v>6850</v>
      </c>
      <c r="AN64" s="83">
        <f t="shared" si="34"/>
        <v>0</v>
      </c>
      <c r="AO64" s="83">
        <f t="shared" si="34"/>
        <v>0</v>
      </c>
      <c r="AP64" s="83">
        <f t="shared" si="34"/>
        <v>0</v>
      </c>
      <c r="AQ64" s="83">
        <f t="shared" si="34"/>
        <v>0</v>
      </c>
      <c r="AR64" s="83">
        <f t="shared" si="34"/>
        <v>0</v>
      </c>
      <c r="AS64" s="83">
        <f t="shared" si="34"/>
        <v>0</v>
      </c>
      <c r="AT64" s="83">
        <f t="shared" si="34"/>
        <v>0</v>
      </c>
      <c r="AU64" s="83">
        <f t="shared" si="34"/>
        <v>0</v>
      </c>
      <c r="AV64" s="83">
        <f t="shared" si="34"/>
        <v>0</v>
      </c>
      <c r="AW64" s="83">
        <f t="shared" si="34"/>
        <v>0</v>
      </c>
      <c r="AX64" s="83">
        <f t="shared" si="34"/>
        <v>0</v>
      </c>
      <c r="AY64" s="83">
        <f t="shared" si="34"/>
        <v>0</v>
      </c>
      <c r="AZ64" s="83">
        <f t="shared" si="34"/>
        <v>0</v>
      </c>
      <c r="BA64" s="83">
        <f t="shared" si="34"/>
        <v>0</v>
      </c>
      <c r="BB64" s="83">
        <f t="shared" si="34"/>
        <v>0</v>
      </c>
      <c r="BC64" s="83">
        <f t="shared" si="34"/>
        <v>0</v>
      </c>
      <c r="BD64" s="83">
        <f t="shared" si="34"/>
        <v>0</v>
      </c>
      <c r="BE64" s="83">
        <f t="shared" si="34"/>
        <v>0</v>
      </c>
      <c r="BF64" s="83">
        <f t="shared" si="34"/>
        <v>0</v>
      </c>
      <c r="BG64" s="83">
        <f t="shared" si="34"/>
        <v>0</v>
      </c>
      <c r="BH64" s="85"/>
      <c r="BI64" s="86"/>
      <c r="BJ64" s="86"/>
      <c r="BK64" s="86"/>
      <c r="BL64" s="86"/>
    </row>
    <row r="65" spans="1:64" ht="15.75" hidden="1" customHeight="1" x14ac:dyDescent="0.25">
      <c r="A65" s="34"/>
      <c r="B65" s="34"/>
      <c r="C65" s="51" t="s">
        <v>156</v>
      </c>
      <c r="D65" s="36" t="s">
        <v>164</v>
      </c>
      <c r="E65" s="88"/>
      <c r="F65" s="37"/>
      <c r="G65" s="37"/>
      <c r="H65" s="38"/>
      <c r="I65" s="39">
        <f t="shared" ref="I65:K68" si="35">U65+X65+AA65+AD65+AG65+AJ65+AM65+AP65+AS65+AV65+AY65+BB65</f>
        <v>0</v>
      </c>
      <c r="J65" s="39">
        <f t="shared" si="35"/>
        <v>0</v>
      </c>
      <c r="K65" s="39">
        <f t="shared" si="35"/>
        <v>0</v>
      </c>
      <c r="L65" s="26">
        <f t="shared" si="23"/>
        <v>0</v>
      </c>
      <c r="M65" s="26">
        <f t="shared" si="23"/>
        <v>0</v>
      </c>
      <c r="N65" s="26">
        <f t="shared" si="23"/>
        <v>0</v>
      </c>
      <c r="O65" s="39">
        <f t="shared" ref="O65:P68" si="36">E65-I65</f>
        <v>0</v>
      </c>
      <c r="P65" s="39">
        <f t="shared" si="36"/>
        <v>0</v>
      </c>
      <c r="Q65" s="39">
        <f t="shared" ref="Q65:Q68" si="37">H65-K65</f>
        <v>0</v>
      </c>
      <c r="R65" s="41" t="e">
        <f t="shared" ref="R65:S75" si="38">I65/E65</f>
        <v>#DIV/0!</v>
      </c>
      <c r="S65" s="41" t="e">
        <f t="shared" si="38"/>
        <v>#DIV/0!</v>
      </c>
      <c r="T65" s="41" t="e">
        <f t="shared" si="2"/>
        <v>#DIV/0!</v>
      </c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42"/>
      <c r="BI65" s="43"/>
      <c r="BJ65" s="43"/>
      <c r="BK65" s="43"/>
      <c r="BL65" s="43"/>
    </row>
    <row r="66" spans="1:64" ht="15.75" hidden="1" customHeight="1" x14ac:dyDescent="0.25">
      <c r="A66" s="75"/>
      <c r="B66" s="75"/>
      <c r="C66" s="51" t="s">
        <v>165</v>
      </c>
      <c r="D66" s="36" t="s">
        <v>166</v>
      </c>
      <c r="E66" s="38"/>
      <c r="F66" s="62"/>
      <c r="G66" s="62"/>
      <c r="H66" s="38"/>
      <c r="I66" s="39">
        <f t="shared" si="35"/>
        <v>0</v>
      </c>
      <c r="J66" s="39">
        <f t="shared" si="35"/>
        <v>0</v>
      </c>
      <c r="K66" s="39">
        <f t="shared" si="35"/>
        <v>0</v>
      </c>
      <c r="L66" s="26">
        <f t="shared" si="23"/>
        <v>0</v>
      </c>
      <c r="M66" s="26">
        <f t="shared" si="23"/>
        <v>0</v>
      </c>
      <c r="N66" s="26">
        <f t="shared" si="23"/>
        <v>0</v>
      </c>
      <c r="O66" s="39">
        <f t="shared" si="36"/>
        <v>0</v>
      </c>
      <c r="P66" s="39">
        <f t="shared" si="36"/>
        <v>0</v>
      </c>
      <c r="Q66" s="39">
        <f t="shared" si="37"/>
        <v>0</v>
      </c>
      <c r="R66" s="41" t="e">
        <f t="shared" si="38"/>
        <v>#DIV/0!</v>
      </c>
      <c r="S66" s="41" t="e">
        <f t="shared" si="38"/>
        <v>#DIV/0!</v>
      </c>
      <c r="T66" s="41" t="e">
        <f t="shared" si="2"/>
        <v>#DIV/0!</v>
      </c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42"/>
      <c r="BI66" s="43"/>
      <c r="BJ66" s="43"/>
      <c r="BK66" s="43"/>
      <c r="BL66" s="43"/>
    </row>
    <row r="67" spans="1:64" ht="15.75" x14ac:dyDescent="0.25">
      <c r="A67" s="66" t="s">
        <v>167</v>
      </c>
      <c r="B67" s="67" t="s">
        <v>168</v>
      </c>
      <c r="C67" s="205" t="s">
        <v>169</v>
      </c>
      <c r="D67" s="204" t="s">
        <v>170</v>
      </c>
      <c r="E67" s="37">
        <f>6850+7850</f>
        <v>14700</v>
      </c>
      <c r="F67" s="52">
        <f>25531.62+2000+3578.54</f>
        <v>31110.16</v>
      </c>
      <c r="G67" s="52"/>
      <c r="H67" s="38"/>
      <c r="I67" s="39">
        <f t="shared" si="35"/>
        <v>7630</v>
      </c>
      <c r="J67" s="39">
        <f t="shared" si="35"/>
        <v>31110.160000000003</v>
      </c>
      <c r="K67" s="39">
        <f t="shared" si="35"/>
        <v>0</v>
      </c>
      <c r="L67" s="39">
        <f t="shared" si="23"/>
        <v>7630</v>
      </c>
      <c r="M67" s="39">
        <f t="shared" si="23"/>
        <v>31110.160000000003</v>
      </c>
      <c r="N67" s="39">
        <f t="shared" si="23"/>
        <v>0</v>
      </c>
      <c r="O67" s="39">
        <f t="shared" si="36"/>
        <v>7070</v>
      </c>
      <c r="P67" s="39">
        <f>F67-J67</f>
        <v>0</v>
      </c>
      <c r="Q67" s="39">
        <f t="shared" si="37"/>
        <v>0</v>
      </c>
      <c r="R67" s="41">
        <f t="shared" si="38"/>
        <v>0.51904761904761909</v>
      </c>
      <c r="S67" s="41">
        <f t="shared" si="38"/>
        <v>1.0000000000000002</v>
      </c>
      <c r="T67" s="41" t="e">
        <f t="shared" ref="T67:T92" si="39">K67/H67</f>
        <v>#DIV/0!</v>
      </c>
      <c r="U67" s="37"/>
      <c r="V67" s="37"/>
      <c r="W67" s="37"/>
      <c r="X67" s="37"/>
      <c r="Y67" s="37">
        <f>221.36+352-217.18</f>
        <v>356.18</v>
      </c>
      <c r="Z67" s="37"/>
      <c r="AA67" s="37"/>
      <c r="AB67" s="37">
        <f>1760+1360+2000+640+768+3840+1106.78+2448+768+153.6+489.6+1075.32</f>
        <v>16409.300000000003</v>
      </c>
      <c r="AC67" s="37"/>
      <c r="AD67" s="37"/>
      <c r="AE67" s="37">
        <f>1075.68+1683+1683+1683+2500+2500</f>
        <v>11124.68</v>
      </c>
      <c r="AF67" s="37"/>
      <c r="AG67" s="37"/>
      <c r="AH67" s="37"/>
      <c r="AI67" s="37"/>
      <c r="AJ67" s="37">
        <f>780</f>
        <v>780</v>
      </c>
      <c r="AK67" s="37">
        <f>2000+1220</f>
        <v>3220</v>
      </c>
      <c r="AL67" s="37"/>
      <c r="AM67" s="37">
        <v>6850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42"/>
      <c r="BI67" s="43"/>
      <c r="BJ67" s="43"/>
      <c r="BK67" s="43"/>
      <c r="BL67" s="43"/>
    </row>
    <row r="68" spans="1:64" ht="15.75" hidden="1" x14ac:dyDescent="0.25">
      <c r="A68" s="123"/>
      <c r="B68" s="123"/>
      <c r="C68" s="51" t="s">
        <v>42</v>
      </c>
      <c r="D68" s="36" t="s">
        <v>171</v>
      </c>
      <c r="E68" s="58"/>
      <c r="F68" s="58"/>
      <c r="G68" s="52"/>
      <c r="H68" s="38"/>
      <c r="I68" s="124">
        <f>U68+AA68+AD68+AG68+AJ68+AM68+AP68+AS68+AV68+AY68+BB68</f>
        <v>0</v>
      </c>
      <c r="J68" s="39">
        <f>V68+AB68+AE68+AH68+AK68+AN68+AQ68+AT68+AW68+AZ68+BC68</f>
        <v>0</v>
      </c>
      <c r="K68" s="39">
        <f t="shared" si="35"/>
        <v>0</v>
      </c>
      <c r="L68" s="26">
        <f>IF(BE68=0,SUM(U68+AA68+AD68+AG68+AJ68+AM68+AP68+AS68+AV68+AY68+BB68),BE68)</f>
        <v>0</v>
      </c>
      <c r="M68" s="26">
        <f>IF(BF68=0,SUM(V68+AB68+AE68+AH68+AK68+AN68+AQ68+AT68+AW68+AZ68+BC68),BF68)</f>
        <v>0</v>
      </c>
      <c r="N68" s="26">
        <f t="shared" si="23"/>
        <v>0</v>
      </c>
      <c r="O68" s="39">
        <f t="shared" si="36"/>
        <v>0</v>
      </c>
      <c r="P68" s="39">
        <f>F68-J68</f>
        <v>0</v>
      </c>
      <c r="Q68" s="39">
        <f t="shared" si="37"/>
        <v>0</v>
      </c>
      <c r="R68" s="41">
        <f>I68/E28</f>
        <v>0</v>
      </c>
      <c r="S68" s="41">
        <f>J68/F28</f>
        <v>0</v>
      </c>
      <c r="T68" s="41" t="e">
        <f t="shared" si="39"/>
        <v>#DIV/0!</v>
      </c>
      <c r="U68" s="37"/>
      <c r="V68" s="37"/>
      <c r="W68" s="37"/>
      <c r="X68" s="58"/>
      <c r="Y68" s="58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42"/>
      <c r="BI68" s="43"/>
      <c r="BJ68" s="43"/>
      <c r="BK68" s="43"/>
      <c r="BL68" s="43"/>
    </row>
    <row r="69" spans="1:64" ht="15.75" customHeight="1" x14ac:dyDescent="0.25">
      <c r="A69" s="80"/>
      <c r="B69" s="80"/>
      <c r="C69" s="121"/>
      <c r="D69" s="82" t="s">
        <v>172</v>
      </c>
      <c r="E69" s="83">
        <f>SUM(E71:E75)</f>
        <v>0</v>
      </c>
      <c r="F69" s="83">
        <f>SUM(F71:F75)</f>
        <v>419086</v>
      </c>
      <c r="G69" s="83"/>
      <c r="H69" s="83">
        <f>SUM(H71:H75)</f>
        <v>0</v>
      </c>
      <c r="I69" s="83">
        <f>SUM(I71:I75)</f>
        <v>0</v>
      </c>
      <c r="J69" s="83">
        <f>SUM(J71:J75)</f>
        <v>419086</v>
      </c>
      <c r="K69" s="83">
        <f>SUM(K71:K75)</f>
        <v>0</v>
      </c>
      <c r="L69" s="25">
        <f t="shared" ref="L69:L82" si="40">IF(BE69=0,SUM(U69+X69+AA69+AD69+AG69+AJ69+AM69+AP69+AS69+AV69+AY69+BB69),BE69)</f>
        <v>0</v>
      </c>
      <c r="M69" s="25">
        <f t="shared" ref="M69:N82" si="41">IF(BF69=0,SUM(V69+Y69+AB69+AE69+AH69+AK69+AN69+AQ69+AT69+AW69+AZ69+BC69),BF69)</f>
        <v>419086</v>
      </c>
      <c r="N69" s="25">
        <f t="shared" si="41"/>
        <v>0</v>
      </c>
      <c r="O69" s="83">
        <f>SUM(O71:O75)</f>
        <v>0</v>
      </c>
      <c r="P69" s="83">
        <f>SUM(P71:P75)</f>
        <v>0</v>
      </c>
      <c r="Q69" s="83">
        <f>SUM(Q71:Q75)</f>
        <v>0</v>
      </c>
      <c r="R69" s="122" t="e">
        <f t="shared" ref="R69:S84" si="42">I69/E69</f>
        <v>#DIV/0!</v>
      </c>
      <c r="S69" s="122">
        <f t="shared" si="42"/>
        <v>1</v>
      </c>
      <c r="T69" s="122" t="e">
        <f t="shared" si="39"/>
        <v>#DIV/0!</v>
      </c>
      <c r="U69" s="83">
        <f t="shared" ref="U69:BG69" si="43">SUM(U71:U75)</f>
        <v>0</v>
      </c>
      <c r="V69" s="83">
        <f t="shared" si="43"/>
        <v>0</v>
      </c>
      <c r="W69" s="83">
        <f t="shared" si="43"/>
        <v>0</v>
      </c>
      <c r="X69" s="83">
        <f t="shared" si="43"/>
        <v>0</v>
      </c>
      <c r="Y69" s="83">
        <f t="shared" si="43"/>
        <v>0</v>
      </c>
      <c r="Z69" s="83">
        <f t="shared" si="43"/>
        <v>0</v>
      </c>
      <c r="AA69" s="83">
        <f t="shared" si="43"/>
        <v>0</v>
      </c>
      <c r="AB69" s="83">
        <f t="shared" si="43"/>
        <v>74011</v>
      </c>
      <c r="AC69" s="83">
        <f t="shared" si="43"/>
        <v>0</v>
      </c>
      <c r="AD69" s="83">
        <f t="shared" si="43"/>
        <v>0</v>
      </c>
      <c r="AE69" s="83">
        <f t="shared" si="43"/>
        <v>297825</v>
      </c>
      <c r="AF69" s="83">
        <f t="shared" si="43"/>
        <v>0</v>
      </c>
      <c r="AG69" s="83">
        <f t="shared" si="43"/>
        <v>0</v>
      </c>
      <c r="AH69" s="83">
        <f t="shared" si="43"/>
        <v>41800</v>
      </c>
      <c r="AI69" s="83">
        <f t="shared" si="43"/>
        <v>0</v>
      </c>
      <c r="AJ69" s="83">
        <f t="shared" si="43"/>
        <v>0</v>
      </c>
      <c r="AK69" s="83">
        <f t="shared" si="43"/>
        <v>5450</v>
      </c>
      <c r="AL69" s="83">
        <f t="shared" si="43"/>
        <v>0</v>
      </c>
      <c r="AM69" s="83">
        <f t="shared" si="43"/>
        <v>0</v>
      </c>
      <c r="AN69" s="83">
        <f t="shared" si="43"/>
        <v>0</v>
      </c>
      <c r="AO69" s="83">
        <f t="shared" si="43"/>
        <v>0</v>
      </c>
      <c r="AP69" s="83">
        <f t="shared" si="43"/>
        <v>0</v>
      </c>
      <c r="AQ69" s="83">
        <f t="shared" si="43"/>
        <v>0</v>
      </c>
      <c r="AR69" s="83">
        <f t="shared" si="43"/>
        <v>0</v>
      </c>
      <c r="AS69" s="83">
        <f t="shared" si="43"/>
        <v>0</v>
      </c>
      <c r="AT69" s="83">
        <f t="shared" si="43"/>
        <v>0</v>
      </c>
      <c r="AU69" s="83">
        <f t="shared" si="43"/>
        <v>0</v>
      </c>
      <c r="AV69" s="83">
        <f t="shared" si="43"/>
        <v>0</v>
      </c>
      <c r="AW69" s="83">
        <f t="shared" si="43"/>
        <v>0</v>
      </c>
      <c r="AX69" s="83">
        <f t="shared" si="43"/>
        <v>0</v>
      </c>
      <c r="AY69" s="83">
        <f t="shared" si="43"/>
        <v>0</v>
      </c>
      <c r="AZ69" s="83">
        <f t="shared" si="43"/>
        <v>0</v>
      </c>
      <c r="BA69" s="83">
        <f t="shared" si="43"/>
        <v>0</v>
      </c>
      <c r="BB69" s="83">
        <f t="shared" si="43"/>
        <v>0</v>
      </c>
      <c r="BC69" s="83">
        <f t="shared" si="43"/>
        <v>0</v>
      </c>
      <c r="BD69" s="83">
        <f t="shared" si="43"/>
        <v>0</v>
      </c>
      <c r="BE69" s="83">
        <f t="shared" si="43"/>
        <v>0</v>
      </c>
      <c r="BF69" s="83">
        <f t="shared" si="43"/>
        <v>0</v>
      </c>
      <c r="BG69" s="83">
        <f t="shared" si="43"/>
        <v>0</v>
      </c>
      <c r="BH69" s="85"/>
      <c r="BI69" s="86"/>
      <c r="BJ69" s="86"/>
      <c r="BK69" s="86"/>
      <c r="BL69" s="86"/>
    </row>
    <row r="70" spans="1:64" ht="15.75" hidden="1" customHeight="1" x14ac:dyDescent="0.25">
      <c r="A70" s="91"/>
      <c r="B70" s="91"/>
      <c r="C70" s="92"/>
      <c r="D70" s="93" t="s">
        <v>173</v>
      </c>
      <c r="E70" s="95"/>
      <c r="F70" s="95"/>
      <c r="G70" s="95"/>
      <c r="H70" s="95"/>
      <c r="I70" s="96"/>
      <c r="J70" s="96"/>
      <c r="K70" s="96"/>
      <c r="L70" s="26"/>
      <c r="M70" s="26"/>
      <c r="N70" s="26"/>
      <c r="O70" s="96"/>
      <c r="P70" s="96"/>
      <c r="Q70" s="96"/>
      <c r="R70" s="97"/>
      <c r="S70" s="97"/>
      <c r="T70" s="97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1"/>
      <c r="BI70" s="102"/>
      <c r="BJ70" s="102"/>
      <c r="BK70" s="102"/>
      <c r="BL70" s="102"/>
    </row>
    <row r="71" spans="1:64" ht="15.75" customHeight="1" x14ac:dyDescent="0.25">
      <c r="A71" s="125"/>
      <c r="B71" s="125" t="s">
        <v>174</v>
      </c>
      <c r="C71" s="126" t="s">
        <v>175</v>
      </c>
      <c r="D71" s="127" t="s">
        <v>176</v>
      </c>
      <c r="E71" s="95"/>
      <c r="F71" s="95">
        <f>74011+297825+41800+5450</f>
        <v>419086</v>
      </c>
      <c r="G71" s="95"/>
      <c r="H71" s="95"/>
      <c r="I71" s="96">
        <f t="shared" ref="I71:K75" si="44">U71+X71+AA71+AD71+AG71+AJ71+AM71+AP71+AS71+AV71+AY71+BB71</f>
        <v>0</v>
      </c>
      <c r="J71" s="96">
        <f t="shared" si="44"/>
        <v>419086</v>
      </c>
      <c r="K71" s="96">
        <f t="shared" si="44"/>
        <v>0</v>
      </c>
      <c r="L71" s="26">
        <f t="shared" si="40"/>
        <v>0</v>
      </c>
      <c r="M71" s="39">
        <f t="shared" si="41"/>
        <v>419086</v>
      </c>
      <c r="N71" s="26">
        <f t="shared" si="41"/>
        <v>0</v>
      </c>
      <c r="O71" s="96">
        <f t="shared" ref="O71:P75" si="45">E71-I71</f>
        <v>0</v>
      </c>
      <c r="P71" s="96">
        <f t="shared" si="45"/>
        <v>0</v>
      </c>
      <c r="Q71" s="96">
        <f t="shared" ref="Q71:Q75" si="46">H71-K71</f>
        <v>0</v>
      </c>
      <c r="R71" s="97" t="e">
        <f t="shared" si="42"/>
        <v>#DIV/0!</v>
      </c>
      <c r="S71" s="97">
        <f t="shared" si="42"/>
        <v>1</v>
      </c>
      <c r="T71" s="97" t="e">
        <f t="shared" si="39"/>
        <v>#DIV/0!</v>
      </c>
      <c r="U71" s="98"/>
      <c r="V71" s="98"/>
      <c r="W71" s="98"/>
      <c r="X71" s="98"/>
      <c r="Y71" s="98"/>
      <c r="Z71" s="98"/>
      <c r="AA71" s="98"/>
      <c r="AB71" s="98">
        <f>74011</f>
        <v>74011</v>
      </c>
      <c r="AC71" s="98"/>
      <c r="AD71" s="98"/>
      <c r="AE71" s="98">
        <v>297825</v>
      </c>
      <c r="AF71" s="98"/>
      <c r="AG71" s="98"/>
      <c r="AH71" s="98">
        <v>41800</v>
      </c>
      <c r="AI71" s="98"/>
      <c r="AJ71" s="100"/>
      <c r="AK71" s="100">
        <v>5450</v>
      </c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1"/>
      <c r="BI71" s="102"/>
      <c r="BJ71" s="102"/>
      <c r="BK71" s="102"/>
      <c r="BL71" s="102"/>
    </row>
    <row r="72" spans="1:64" ht="15.75" hidden="1" customHeight="1" x14ac:dyDescent="0.25">
      <c r="A72" s="123"/>
      <c r="B72" s="128"/>
      <c r="C72" s="35" t="s">
        <v>177</v>
      </c>
      <c r="D72" s="129" t="s">
        <v>178</v>
      </c>
      <c r="E72" s="130"/>
      <c r="F72" s="131"/>
      <c r="G72" s="131"/>
      <c r="H72" s="132"/>
      <c r="I72" s="39"/>
      <c r="J72" s="39"/>
      <c r="K72" s="39"/>
      <c r="L72" s="26"/>
      <c r="M72" s="26"/>
      <c r="N72" s="26"/>
      <c r="O72" s="39"/>
      <c r="P72" s="39"/>
      <c r="Q72" s="39"/>
      <c r="R72" s="41"/>
      <c r="S72" s="41"/>
      <c r="T72" s="41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42"/>
      <c r="BI72" s="43"/>
      <c r="BJ72" s="43"/>
      <c r="BK72" s="43"/>
      <c r="BL72" s="43"/>
    </row>
    <row r="73" spans="1:64" ht="15.75" hidden="1" customHeight="1" x14ac:dyDescent="0.25">
      <c r="A73" s="123"/>
      <c r="B73" s="128"/>
      <c r="C73" s="35" t="s">
        <v>71</v>
      </c>
      <c r="D73" s="129" t="s">
        <v>179</v>
      </c>
      <c r="E73" s="130"/>
      <c r="F73" s="131"/>
      <c r="G73" s="131"/>
      <c r="H73" s="132"/>
      <c r="I73" s="39"/>
      <c r="J73" s="39"/>
      <c r="K73" s="39"/>
      <c r="L73" s="26"/>
      <c r="M73" s="26"/>
      <c r="N73" s="26"/>
      <c r="O73" s="39"/>
      <c r="P73" s="39"/>
      <c r="Q73" s="39"/>
      <c r="R73" s="41"/>
      <c r="S73" s="41"/>
      <c r="T73" s="41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42"/>
      <c r="BI73" s="43"/>
      <c r="BJ73" s="43"/>
      <c r="BK73" s="43"/>
      <c r="BL73" s="43"/>
    </row>
    <row r="74" spans="1:64" ht="15.75" hidden="1" customHeight="1" x14ac:dyDescent="0.25">
      <c r="A74" s="75"/>
      <c r="B74" s="75"/>
      <c r="C74" s="35" t="s">
        <v>180</v>
      </c>
      <c r="D74" s="77" t="s">
        <v>181</v>
      </c>
      <c r="E74" s="37"/>
      <c r="F74" s="37"/>
      <c r="G74" s="37"/>
      <c r="H74" s="37"/>
      <c r="I74" s="39">
        <f t="shared" si="44"/>
        <v>0</v>
      </c>
      <c r="J74" s="39">
        <f t="shared" si="44"/>
        <v>0</v>
      </c>
      <c r="K74" s="39">
        <f t="shared" si="44"/>
        <v>0</v>
      </c>
      <c r="L74" s="26">
        <f t="shared" si="40"/>
        <v>0</v>
      </c>
      <c r="M74" s="26">
        <f t="shared" si="41"/>
        <v>0</v>
      </c>
      <c r="N74" s="26">
        <f t="shared" si="41"/>
        <v>0</v>
      </c>
      <c r="O74" s="39">
        <f t="shared" si="45"/>
        <v>0</v>
      </c>
      <c r="P74" s="39">
        <f t="shared" si="45"/>
        <v>0</v>
      </c>
      <c r="Q74" s="39">
        <f t="shared" si="46"/>
        <v>0</v>
      </c>
      <c r="R74" s="41" t="e">
        <f t="shared" si="42"/>
        <v>#DIV/0!</v>
      </c>
      <c r="S74" s="41" t="e">
        <f t="shared" si="42"/>
        <v>#DIV/0!</v>
      </c>
      <c r="T74" s="41" t="e">
        <f t="shared" si="39"/>
        <v>#DIV/0!</v>
      </c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42"/>
      <c r="BI74" s="43"/>
      <c r="BJ74" s="43"/>
      <c r="BK74" s="43"/>
      <c r="BL74" s="43"/>
    </row>
    <row r="75" spans="1:64" ht="15.75" hidden="1" customHeight="1" x14ac:dyDescent="0.25">
      <c r="A75" s="75"/>
      <c r="B75" s="75"/>
      <c r="C75" s="35" t="s">
        <v>182</v>
      </c>
      <c r="D75" s="77" t="s">
        <v>155</v>
      </c>
      <c r="E75" s="37"/>
      <c r="F75" s="37"/>
      <c r="G75" s="37"/>
      <c r="H75" s="37"/>
      <c r="I75" s="39">
        <f t="shared" si="44"/>
        <v>0</v>
      </c>
      <c r="J75" s="39">
        <f t="shared" si="44"/>
        <v>0</v>
      </c>
      <c r="K75" s="39">
        <f t="shared" si="44"/>
        <v>0</v>
      </c>
      <c r="L75" s="26">
        <f t="shared" si="40"/>
        <v>0</v>
      </c>
      <c r="M75" s="26">
        <f t="shared" si="41"/>
        <v>0</v>
      </c>
      <c r="N75" s="26">
        <f t="shared" si="41"/>
        <v>0</v>
      </c>
      <c r="O75" s="39">
        <f t="shared" si="45"/>
        <v>0</v>
      </c>
      <c r="P75" s="39">
        <f t="shared" si="45"/>
        <v>0</v>
      </c>
      <c r="Q75" s="39">
        <f t="shared" si="46"/>
        <v>0</v>
      </c>
      <c r="R75" s="41" t="e">
        <f t="shared" si="42"/>
        <v>#DIV/0!</v>
      </c>
      <c r="S75" s="41" t="e">
        <f t="shared" si="42"/>
        <v>#DIV/0!</v>
      </c>
      <c r="T75" s="41" t="e">
        <f t="shared" si="39"/>
        <v>#DIV/0!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42"/>
      <c r="BI75" s="43"/>
      <c r="BJ75" s="43"/>
      <c r="BK75" s="43"/>
      <c r="BL75" s="43"/>
    </row>
    <row r="76" spans="1:64" ht="21" x14ac:dyDescent="0.25">
      <c r="A76" s="30"/>
      <c r="B76" s="30"/>
      <c r="C76" s="30" t="s">
        <v>183</v>
      </c>
      <c r="D76" s="30"/>
      <c r="E76" s="32">
        <f>E77+E94+E99+E117+E121+E125</f>
        <v>20230</v>
      </c>
      <c r="F76" s="32">
        <f>F77+F94+F99+F117+F121+F125</f>
        <v>314448.07</v>
      </c>
      <c r="G76" s="32">
        <f>G77+G94+G99+G117+G121+G125</f>
        <v>5588.05</v>
      </c>
      <c r="H76" s="32">
        <f>H77+H94+H99+H117+H121+H125</f>
        <v>142873.54999999999</v>
      </c>
      <c r="I76" s="32">
        <f>I77+I94+I99+I117+I121+I125</f>
        <v>0</v>
      </c>
      <c r="J76" s="32">
        <f>J77+J94+J99+J117+J121+J125</f>
        <v>290481.05000000005</v>
      </c>
      <c r="K76" s="32">
        <f>K77+K94+K99+K117+K121+K125</f>
        <v>39920</v>
      </c>
      <c r="L76" s="32">
        <f t="shared" si="40"/>
        <v>0</v>
      </c>
      <c r="M76" s="32">
        <f t="shared" si="41"/>
        <v>290481.05000000005</v>
      </c>
      <c r="N76" s="32">
        <f t="shared" si="41"/>
        <v>39920</v>
      </c>
      <c r="O76" s="32">
        <f>O77+O94+O99+O117+O121+O125</f>
        <v>9600</v>
      </c>
      <c r="P76" s="32">
        <f>P77+P94+P99+P117+P121+P125</f>
        <v>18378.970000000016</v>
      </c>
      <c r="Q76" s="32">
        <f>Q77+Q94+Q99+Q117+Q121+Q125</f>
        <v>102953.54999999999</v>
      </c>
      <c r="R76" s="33">
        <f t="shared" si="42"/>
        <v>0</v>
      </c>
      <c r="S76" s="33">
        <f t="shared" si="42"/>
        <v>0.92378067386452722</v>
      </c>
      <c r="T76" s="33">
        <f t="shared" si="39"/>
        <v>0.27940791000153636</v>
      </c>
      <c r="U76" s="32">
        <f>U77+U94+U99+U117+U121+U125</f>
        <v>0</v>
      </c>
      <c r="V76" s="32">
        <f>V77+V94+V99+V117+V121+V125</f>
        <v>3905.01</v>
      </c>
      <c r="W76" s="32">
        <f>W77+W94+W99+W117+W121+W125</f>
        <v>0</v>
      </c>
      <c r="X76" s="32">
        <f>X77+X94+X99+X117+X121+X125</f>
        <v>0</v>
      </c>
      <c r="Y76" s="32">
        <f>Y77+Y94+Y99+Y117+Y121+Y125</f>
        <v>40162.520000000004</v>
      </c>
      <c r="Z76" s="32">
        <f>Z77+Z94+Z99+Z117+Z121+Z125</f>
        <v>0</v>
      </c>
      <c r="AA76" s="32">
        <f>AA77+AA94+AA99+AA117+AA121+AA125</f>
        <v>0</v>
      </c>
      <c r="AB76" s="32">
        <f>AB77+AB94+AB99+AB117+AB121+AB125</f>
        <v>71236.800000000003</v>
      </c>
      <c r="AC76" s="32">
        <f>AC77+AC94+AC99+AC117+AC121+AC125</f>
        <v>0</v>
      </c>
      <c r="AD76" s="32">
        <f>AD77+AD94+AD99+AD117+AD121+AD125</f>
        <v>0</v>
      </c>
      <c r="AE76" s="32">
        <f>AE77+AE94+AE99+AE117+AE121+AE125</f>
        <v>2289.6799999999998</v>
      </c>
      <c r="AF76" s="32">
        <f>AF77+AF94+AF99+AF117+AF121+AF125</f>
        <v>11360</v>
      </c>
      <c r="AG76" s="32">
        <f>AG77+AG94+AG99+AG117+AG121+AG125</f>
        <v>0</v>
      </c>
      <c r="AH76" s="32">
        <f>AH77+AH94+AH99+AH117+AH121+AH125</f>
        <v>18570.449999999997</v>
      </c>
      <c r="AI76" s="32">
        <f>AI77+AI94+AI99+AI117+AI121+AI125</f>
        <v>13760</v>
      </c>
      <c r="AJ76" s="32">
        <f>AJ77+AJ94+AJ99+AJ117+AJ121+AJ125</f>
        <v>0</v>
      </c>
      <c r="AK76" s="32">
        <f>AK77+AK94+AK99+AK117+AK121+AK125</f>
        <v>148386</v>
      </c>
      <c r="AL76" s="32">
        <f>AL77+AL94+AL99+AL117+AL121+AL125</f>
        <v>14800</v>
      </c>
      <c r="AM76" s="32">
        <f>AM77+AM94+AM99+AM117+AM121+AM125</f>
        <v>0</v>
      </c>
      <c r="AN76" s="32">
        <f>AN77+AN94+AN99+AN117+AN121+AN125</f>
        <v>5930.59</v>
      </c>
      <c r="AO76" s="32">
        <f>AO77+AO94+AO99+AO117+AO121+AO125</f>
        <v>0</v>
      </c>
      <c r="AP76" s="32">
        <f>AP77+AP94+AP99+AP117+AP121+AP125</f>
        <v>0</v>
      </c>
      <c r="AQ76" s="32">
        <f>AQ77+AQ94+AQ99+AQ117+AQ121+AQ125</f>
        <v>0</v>
      </c>
      <c r="AR76" s="32">
        <f>AR77+AR94+AR99+AR117+AR121+AR125</f>
        <v>0</v>
      </c>
      <c r="AS76" s="32">
        <f>AS77+AS94+AS99+AS117+AS121+AS125</f>
        <v>0</v>
      </c>
      <c r="AT76" s="32">
        <f>AT77+AT94+AT99+AT117+AT121+AT125</f>
        <v>0</v>
      </c>
      <c r="AU76" s="32">
        <f>AU77+AU94+AU99+AU117+AU121+AU125</f>
        <v>0</v>
      </c>
      <c r="AV76" s="32">
        <f>AV77+AV94+AV99+AV117+AV121+AV125</f>
        <v>0</v>
      </c>
      <c r="AW76" s="32">
        <f>AW77+AW94+AW99+AW117+AW121+AW125</f>
        <v>0</v>
      </c>
      <c r="AX76" s="32">
        <f>AX77+AX94+AX99+AX117+AX121+AX125</f>
        <v>0</v>
      </c>
      <c r="AY76" s="32">
        <f>AY77+AY94+AY99+AY117+AY121+AY125</f>
        <v>0</v>
      </c>
      <c r="AZ76" s="32">
        <f>AZ77+AZ94+AZ99+AZ117+AZ121+AZ125</f>
        <v>0</v>
      </c>
      <c r="BA76" s="32">
        <f>BA77+BA94+BA99+BA117+BA121+BA125</f>
        <v>0</v>
      </c>
      <c r="BB76" s="32">
        <f>BB77+BB94+BB99+BB117+BB121+BB125</f>
        <v>0</v>
      </c>
      <c r="BC76" s="32">
        <f>BC77+BC94+BC99+BC117+BC121+BC125</f>
        <v>0</v>
      </c>
      <c r="BD76" s="32">
        <f>BD77+BD94+BD99+BD117+BD121+BD125</f>
        <v>0</v>
      </c>
      <c r="BE76" s="32">
        <f>BE77+BE94+BE99+BE117+BE121+BE125</f>
        <v>0</v>
      </c>
      <c r="BF76" s="32">
        <f>BF77+BF94+BF99+BF117+BF121+BF125</f>
        <v>0</v>
      </c>
      <c r="BG76" s="32">
        <f>BG77+BG94+BG99+BG117+BG121+BG125</f>
        <v>0</v>
      </c>
      <c r="BH76" s="78"/>
      <c r="BI76" s="79"/>
      <c r="BJ76" s="79"/>
      <c r="BK76" s="79"/>
      <c r="BL76" s="79"/>
    </row>
    <row r="77" spans="1:64" ht="15.75" customHeight="1" x14ac:dyDescent="0.25">
      <c r="A77" s="80"/>
      <c r="B77" s="80"/>
      <c r="C77" s="81"/>
      <c r="D77" s="82" t="s">
        <v>135</v>
      </c>
      <c r="E77" s="83">
        <f t="shared" ref="E77:K77" si="47">SUM(E78:E93)</f>
        <v>730</v>
      </c>
      <c r="F77" s="83">
        <f>SUM(F78:F93)</f>
        <v>157466.56</v>
      </c>
      <c r="G77" s="83">
        <f t="shared" si="47"/>
        <v>5588.05</v>
      </c>
      <c r="H77" s="83">
        <f t="shared" si="47"/>
        <v>0</v>
      </c>
      <c r="I77" s="83">
        <f t="shared" si="47"/>
        <v>0</v>
      </c>
      <c r="J77" s="83">
        <f t="shared" si="47"/>
        <v>151878.51</v>
      </c>
      <c r="K77" s="83">
        <f t="shared" si="47"/>
        <v>0</v>
      </c>
      <c r="L77" s="25">
        <f t="shared" si="40"/>
        <v>0</v>
      </c>
      <c r="M77" s="25">
        <f t="shared" si="41"/>
        <v>151878.51</v>
      </c>
      <c r="N77" s="25">
        <f t="shared" si="41"/>
        <v>0</v>
      </c>
      <c r="O77" s="83">
        <f>SUM(O78:O93)</f>
        <v>0</v>
      </c>
      <c r="P77" s="83">
        <f>SUM(P78:P93)</f>
        <v>0</v>
      </c>
      <c r="Q77" s="83">
        <f>SUM(Q78:Q93)</f>
        <v>0</v>
      </c>
      <c r="R77" s="122">
        <f t="shared" si="42"/>
        <v>0</v>
      </c>
      <c r="S77" s="122">
        <f t="shared" si="42"/>
        <v>0.96451278290451004</v>
      </c>
      <c r="T77" s="122" t="e">
        <f t="shared" si="39"/>
        <v>#DIV/0!</v>
      </c>
      <c r="U77" s="83">
        <f t="shared" ref="U77:BG77" si="48">SUM(U78:U93)</f>
        <v>0</v>
      </c>
      <c r="V77" s="83">
        <f t="shared" si="48"/>
        <v>3492.51</v>
      </c>
      <c r="W77" s="83">
        <f t="shared" si="48"/>
        <v>0</v>
      </c>
      <c r="X77" s="83">
        <f t="shared" si="48"/>
        <v>0</v>
      </c>
      <c r="Y77" s="83">
        <f t="shared" si="48"/>
        <v>0</v>
      </c>
      <c r="Z77" s="83">
        <f t="shared" si="48"/>
        <v>0</v>
      </c>
      <c r="AA77" s="83">
        <f t="shared" si="48"/>
        <v>0</v>
      </c>
      <c r="AB77" s="83">
        <f t="shared" si="48"/>
        <v>0</v>
      </c>
      <c r="AC77" s="83">
        <f t="shared" si="48"/>
        <v>0</v>
      </c>
      <c r="AD77" s="83">
        <f t="shared" si="48"/>
        <v>0</v>
      </c>
      <c r="AE77" s="83">
        <f t="shared" si="48"/>
        <v>0</v>
      </c>
      <c r="AF77" s="83">
        <f t="shared" si="48"/>
        <v>0</v>
      </c>
      <c r="AG77" s="83">
        <f t="shared" si="48"/>
        <v>0</v>
      </c>
      <c r="AH77" s="83">
        <f t="shared" si="48"/>
        <v>0</v>
      </c>
      <c r="AI77" s="83">
        <f t="shared" si="48"/>
        <v>0</v>
      </c>
      <c r="AJ77" s="83">
        <f t="shared" si="48"/>
        <v>0</v>
      </c>
      <c r="AK77" s="83">
        <f t="shared" si="48"/>
        <v>148386</v>
      </c>
      <c r="AL77" s="83">
        <f t="shared" si="48"/>
        <v>0</v>
      </c>
      <c r="AM77" s="83">
        <f t="shared" si="48"/>
        <v>0</v>
      </c>
      <c r="AN77" s="83">
        <f t="shared" si="48"/>
        <v>0</v>
      </c>
      <c r="AO77" s="83">
        <f t="shared" si="48"/>
        <v>0</v>
      </c>
      <c r="AP77" s="83">
        <f t="shared" si="48"/>
        <v>0</v>
      </c>
      <c r="AQ77" s="83">
        <f t="shared" si="48"/>
        <v>0</v>
      </c>
      <c r="AR77" s="83">
        <f t="shared" si="48"/>
        <v>0</v>
      </c>
      <c r="AS77" s="83">
        <f t="shared" si="48"/>
        <v>0</v>
      </c>
      <c r="AT77" s="83">
        <f t="shared" si="48"/>
        <v>0</v>
      </c>
      <c r="AU77" s="83">
        <f t="shared" si="48"/>
        <v>0</v>
      </c>
      <c r="AV77" s="83">
        <f t="shared" si="48"/>
        <v>0</v>
      </c>
      <c r="AW77" s="83">
        <f t="shared" si="48"/>
        <v>0</v>
      </c>
      <c r="AX77" s="83">
        <f t="shared" si="48"/>
        <v>0</v>
      </c>
      <c r="AY77" s="83">
        <f t="shared" si="48"/>
        <v>0</v>
      </c>
      <c r="AZ77" s="83">
        <f t="shared" si="48"/>
        <v>0</v>
      </c>
      <c r="BA77" s="83">
        <f t="shared" si="48"/>
        <v>0</v>
      </c>
      <c r="BB77" s="83">
        <f t="shared" si="48"/>
        <v>0</v>
      </c>
      <c r="BC77" s="83">
        <f t="shared" si="48"/>
        <v>0</v>
      </c>
      <c r="BD77" s="83">
        <f t="shared" si="48"/>
        <v>0</v>
      </c>
      <c r="BE77" s="83">
        <f t="shared" si="48"/>
        <v>0</v>
      </c>
      <c r="BF77" s="83">
        <f t="shared" si="48"/>
        <v>0</v>
      </c>
      <c r="BG77" s="83">
        <f t="shared" si="48"/>
        <v>0</v>
      </c>
      <c r="BH77" s="85"/>
      <c r="BI77" s="86"/>
      <c r="BJ77" s="86"/>
      <c r="BK77" s="86"/>
      <c r="BL77" s="86"/>
    </row>
    <row r="78" spans="1:64" ht="15.75" hidden="1" customHeight="1" x14ac:dyDescent="0.25">
      <c r="A78" s="34"/>
      <c r="B78" s="34"/>
      <c r="C78" s="35" t="s">
        <v>34</v>
      </c>
      <c r="D78" s="77" t="s">
        <v>159</v>
      </c>
      <c r="E78" s="37"/>
      <c r="F78" s="37"/>
      <c r="G78" s="37"/>
      <c r="H78" s="37"/>
      <c r="I78" s="39">
        <f t="shared" ref="I78:K82" si="49">U78+X78+AA78+AD78+AG78+AJ78+AM78+AP78+AS78+AV78+AY78+BB78</f>
        <v>0</v>
      </c>
      <c r="J78" s="39">
        <f t="shared" si="49"/>
        <v>0</v>
      </c>
      <c r="K78" s="39">
        <f t="shared" si="49"/>
        <v>0</v>
      </c>
      <c r="L78" s="39">
        <f t="shared" si="40"/>
        <v>0</v>
      </c>
      <c r="M78" s="39">
        <f t="shared" si="41"/>
        <v>0</v>
      </c>
      <c r="N78" s="39">
        <f t="shared" si="41"/>
        <v>0</v>
      </c>
      <c r="O78" s="39">
        <f t="shared" ref="O78:P89" si="50">E78-I78</f>
        <v>0</v>
      </c>
      <c r="P78" s="39">
        <f t="shared" si="50"/>
        <v>0</v>
      </c>
      <c r="Q78" s="39">
        <f t="shared" ref="Q78:Q82" si="51">H78-K78</f>
        <v>0</v>
      </c>
      <c r="R78" s="41" t="e">
        <f t="shared" si="42"/>
        <v>#DIV/0!</v>
      </c>
      <c r="S78" s="41" t="e">
        <f t="shared" si="42"/>
        <v>#DIV/0!</v>
      </c>
      <c r="T78" s="41" t="e">
        <f t="shared" si="39"/>
        <v>#DIV/0!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42"/>
      <c r="BI78" s="43"/>
      <c r="BJ78" s="43"/>
      <c r="BK78" s="43"/>
      <c r="BL78" s="43"/>
    </row>
    <row r="79" spans="1:64" ht="15.75" hidden="1" customHeight="1" x14ac:dyDescent="0.25">
      <c r="A79" s="34"/>
      <c r="B79" s="34"/>
      <c r="C79" s="35" t="s">
        <v>184</v>
      </c>
      <c r="D79" s="77" t="s">
        <v>185</v>
      </c>
      <c r="E79" s="37"/>
      <c r="F79" s="37"/>
      <c r="G79" s="37"/>
      <c r="H79" s="37"/>
      <c r="I79" s="39">
        <f t="shared" si="49"/>
        <v>0</v>
      </c>
      <c r="J79" s="39">
        <f t="shared" si="49"/>
        <v>0</v>
      </c>
      <c r="K79" s="39">
        <f t="shared" si="49"/>
        <v>0</v>
      </c>
      <c r="L79" s="39">
        <f t="shared" si="40"/>
        <v>0</v>
      </c>
      <c r="M79" s="39">
        <f t="shared" si="41"/>
        <v>0</v>
      </c>
      <c r="N79" s="39">
        <f t="shared" si="41"/>
        <v>0</v>
      </c>
      <c r="O79" s="39">
        <f t="shared" si="50"/>
        <v>0</v>
      </c>
      <c r="P79" s="39">
        <f t="shared" si="50"/>
        <v>0</v>
      </c>
      <c r="Q79" s="39">
        <f t="shared" si="51"/>
        <v>0</v>
      </c>
      <c r="R79" s="41" t="e">
        <f t="shared" si="42"/>
        <v>#DIV/0!</v>
      </c>
      <c r="S79" s="41" t="e">
        <f t="shared" si="42"/>
        <v>#DIV/0!</v>
      </c>
      <c r="T79" s="41" t="e">
        <f t="shared" si="39"/>
        <v>#DIV/0!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42"/>
      <c r="BI79" s="43"/>
      <c r="BJ79" s="43"/>
      <c r="BK79" s="43"/>
      <c r="BL79" s="43"/>
    </row>
    <row r="80" spans="1:64" ht="15.75" hidden="1" customHeight="1" x14ac:dyDescent="0.25">
      <c r="A80" s="75"/>
      <c r="B80" s="75"/>
      <c r="C80" s="35" t="s">
        <v>160</v>
      </c>
      <c r="D80" s="77" t="s">
        <v>161</v>
      </c>
      <c r="E80" s="37"/>
      <c r="F80" s="37"/>
      <c r="G80" s="37"/>
      <c r="H80" s="37"/>
      <c r="I80" s="39">
        <f t="shared" si="49"/>
        <v>0</v>
      </c>
      <c r="J80" s="39">
        <f t="shared" si="49"/>
        <v>0</v>
      </c>
      <c r="K80" s="39">
        <f t="shared" si="49"/>
        <v>0</v>
      </c>
      <c r="L80" s="39">
        <f t="shared" si="40"/>
        <v>0</v>
      </c>
      <c r="M80" s="39">
        <f t="shared" si="41"/>
        <v>0</v>
      </c>
      <c r="N80" s="39">
        <f t="shared" si="41"/>
        <v>0</v>
      </c>
      <c r="O80" s="39">
        <f t="shared" si="50"/>
        <v>0</v>
      </c>
      <c r="P80" s="39">
        <f t="shared" si="50"/>
        <v>0</v>
      </c>
      <c r="Q80" s="39">
        <f t="shared" si="51"/>
        <v>0</v>
      </c>
      <c r="R80" s="41" t="e">
        <f t="shared" si="42"/>
        <v>#DIV/0!</v>
      </c>
      <c r="S80" s="41" t="e">
        <f t="shared" si="42"/>
        <v>#DIV/0!</v>
      </c>
      <c r="T80" s="41" t="e">
        <f t="shared" si="39"/>
        <v>#DIV/0!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42"/>
      <c r="BI80" s="43"/>
      <c r="BJ80" s="43"/>
      <c r="BK80" s="43"/>
      <c r="BL80" s="43"/>
    </row>
    <row r="81" spans="1:64" ht="15.75" hidden="1" customHeight="1" x14ac:dyDescent="0.25">
      <c r="A81" s="75"/>
      <c r="B81" s="75"/>
      <c r="C81" s="35"/>
      <c r="D81" s="133" t="s">
        <v>186</v>
      </c>
      <c r="E81" s="130"/>
      <c r="F81" s="132"/>
      <c r="G81" s="132"/>
      <c r="H81" s="130"/>
      <c r="I81" s="39">
        <f t="shared" si="49"/>
        <v>0</v>
      </c>
      <c r="J81" s="39">
        <f t="shared" si="49"/>
        <v>0</v>
      </c>
      <c r="K81" s="39">
        <f t="shared" si="49"/>
        <v>0</v>
      </c>
      <c r="L81" s="39">
        <f t="shared" si="40"/>
        <v>0</v>
      </c>
      <c r="M81" s="39">
        <f t="shared" si="41"/>
        <v>0</v>
      </c>
      <c r="N81" s="39">
        <f t="shared" si="41"/>
        <v>0</v>
      </c>
      <c r="O81" s="39">
        <f t="shared" si="50"/>
        <v>0</v>
      </c>
      <c r="P81" s="39">
        <f t="shared" si="50"/>
        <v>0</v>
      </c>
      <c r="Q81" s="39">
        <f t="shared" si="51"/>
        <v>0</v>
      </c>
      <c r="R81" s="41" t="e">
        <f t="shared" si="42"/>
        <v>#DIV/0!</v>
      </c>
      <c r="S81" s="41" t="e">
        <f t="shared" si="42"/>
        <v>#DIV/0!</v>
      </c>
      <c r="T81" s="41" t="e">
        <f t="shared" si="39"/>
        <v>#DIV/0!</v>
      </c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4"/>
      <c r="BC81" s="132"/>
      <c r="BD81" s="132"/>
      <c r="BE81" s="134"/>
      <c r="BF81" s="132"/>
      <c r="BG81" s="132"/>
      <c r="BH81" s="42"/>
      <c r="BI81" s="43"/>
      <c r="BJ81" s="43"/>
      <c r="BK81" s="43"/>
      <c r="BL81" s="43"/>
    </row>
    <row r="82" spans="1:64" ht="15.75" hidden="1" x14ac:dyDescent="0.25">
      <c r="A82" s="75"/>
      <c r="B82" s="75"/>
      <c r="C82" s="35" t="s">
        <v>71</v>
      </c>
      <c r="D82" s="129" t="s">
        <v>187</v>
      </c>
      <c r="E82" s="37"/>
      <c r="F82" s="37"/>
      <c r="G82" s="37"/>
      <c r="H82" s="37"/>
      <c r="I82" s="39">
        <f t="shared" si="49"/>
        <v>0</v>
      </c>
      <c r="J82" s="39">
        <f t="shared" si="49"/>
        <v>0</v>
      </c>
      <c r="K82" s="39">
        <f t="shared" si="49"/>
        <v>0</v>
      </c>
      <c r="L82" s="39">
        <f t="shared" si="40"/>
        <v>0</v>
      </c>
      <c r="M82" s="39">
        <f t="shared" si="41"/>
        <v>0</v>
      </c>
      <c r="N82" s="39">
        <f t="shared" si="41"/>
        <v>0</v>
      </c>
      <c r="O82" s="39">
        <f t="shared" si="50"/>
        <v>0</v>
      </c>
      <c r="P82" s="39">
        <f t="shared" si="50"/>
        <v>0</v>
      </c>
      <c r="Q82" s="39">
        <f t="shared" si="51"/>
        <v>0</v>
      </c>
      <c r="R82" s="41" t="e">
        <f t="shared" si="42"/>
        <v>#DIV/0!</v>
      </c>
      <c r="S82" s="41" t="e">
        <f t="shared" si="42"/>
        <v>#DIV/0!</v>
      </c>
      <c r="T82" s="41" t="e">
        <f t="shared" si="39"/>
        <v>#DIV/0!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42"/>
      <c r="BI82" s="43"/>
      <c r="BJ82" s="43"/>
      <c r="BK82" s="43"/>
      <c r="BL82" s="43"/>
    </row>
    <row r="83" spans="1:64" ht="15.75" x14ac:dyDescent="0.25">
      <c r="A83" s="75"/>
      <c r="B83" s="75"/>
      <c r="C83" s="203" t="s">
        <v>182</v>
      </c>
      <c r="D83" s="212" t="s">
        <v>188</v>
      </c>
      <c r="E83" s="37">
        <v>730</v>
      </c>
      <c r="F83" s="37"/>
      <c r="G83" s="37"/>
      <c r="H83" s="37"/>
      <c r="I83" s="39"/>
      <c r="J83" s="39"/>
      <c r="K83" s="39"/>
      <c r="L83" s="39"/>
      <c r="M83" s="39"/>
      <c r="N83" s="39"/>
      <c r="O83" s="39"/>
      <c r="P83" s="39"/>
      <c r="Q83" s="39"/>
      <c r="R83" s="41"/>
      <c r="S83" s="41"/>
      <c r="T83" s="41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42"/>
      <c r="BI83" s="43"/>
      <c r="BJ83" s="43"/>
      <c r="BK83" s="43"/>
      <c r="BL83" s="43"/>
    </row>
    <row r="84" spans="1:64" ht="15.75" hidden="1" x14ac:dyDescent="0.25">
      <c r="A84" s="75"/>
      <c r="B84" s="75"/>
      <c r="C84" s="203" t="s">
        <v>189</v>
      </c>
      <c r="D84" s="212" t="s">
        <v>190</v>
      </c>
      <c r="E84" s="37"/>
      <c r="F84" s="37"/>
      <c r="G84" s="37"/>
      <c r="H84" s="37"/>
      <c r="I84" s="39">
        <f t="shared" ref="I84:K93" si="52">U84+X84+AA84+AD84+AG84+AJ84+AM84+AP84+AS84+AV84+AY84+BB84</f>
        <v>0</v>
      </c>
      <c r="J84" s="39">
        <f t="shared" si="52"/>
        <v>0</v>
      </c>
      <c r="K84" s="39">
        <f t="shared" si="52"/>
        <v>0</v>
      </c>
      <c r="L84" s="39">
        <f t="shared" ref="L84:N98" si="53">IF(BE84=0,SUM(U84+X84+AA84+AD84+AG84+AJ84+AM84+AP84+AS84+AV84+AY84+BB84),BE84)</f>
        <v>0</v>
      </c>
      <c r="M84" s="39">
        <f t="shared" si="53"/>
        <v>0</v>
      </c>
      <c r="N84" s="39">
        <f t="shared" si="53"/>
        <v>0</v>
      </c>
      <c r="O84" s="39">
        <f t="shared" ref="O84:O93" si="54">E84-I84</f>
        <v>0</v>
      </c>
      <c r="P84" s="39">
        <f t="shared" si="50"/>
        <v>0</v>
      </c>
      <c r="Q84" s="39">
        <f t="shared" ref="Q84:Q93" si="55">H84-K84</f>
        <v>0</v>
      </c>
      <c r="R84" s="41" t="e">
        <f t="shared" ref="R84:S99" si="56">I84/E84</f>
        <v>#DIV/0!</v>
      </c>
      <c r="S84" s="41" t="e">
        <f t="shared" si="42"/>
        <v>#DIV/0!</v>
      </c>
      <c r="T84" s="41" t="e">
        <f t="shared" ref="T84:T107" si="57">K84/H84</f>
        <v>#DIV/0!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42"/>
      <c r="BI84" s="43"/>
      <c r="BJ84" s="43"/>
      <c r="BK84" s="43"/>
      <c r="BL84" s="43"/>
    </row>
    <row r="85" spans="1:64" ht="15.75" hidden="1" x14ac:dyDescent="0.25">
      <c r="A85" s="75"/>
      <c r="B85" s="75"/>
      <c r="C85" s="205" t="s">
        <v>99</v>
      </c>
      <c r="D85" s="204" t="s">
        <v>191</v>
      </c>
      <c r="E85" s="37"/>
      <c r="F85" s="37"/>
      <c r="G85" s="37"/>
      <c r="H85" s="37"/>
      <c r="I85" s="39">
        <f t="shared" si="52"/>
        <v>0</v>
      </c>
      <c r="J85" s="39">
        <f t="shared" si="52"/>
        <v>0</v>
      </c>
      <c r="K85" s="39">
        <f t="shared" si="52"/>
        <v>0</v>
      </c>
      <c r="L85" s="39">
        <f t="shared" si="53"/>
        <v>0</v>
      </c>
      <c r="M85" s="39">
        <f t="shared" si="53"/>
        <v>0</v>
      </c>
      <c r="N85" s="39">
        <f t="shared" si="53"/>
        <v>0</v>
      </c>
      <c r="O85" s="39">
        <f t="shared" si="54"/>
        <v>0</v>
      </c>
      <c r="P85" s="39">
        <f t="shared" si="50"/>
        <v>0</v>
      </c>
      <c r="Q85" s="39">
        <f t="shared" si="55"/>
        <v>0</v>
      </c>
      <c r="R85" s="41" t="e">
        <f t="shared" si="56"/>
        <v>#DIV/0!</v>
      </c>
      <c r="S85" s="41" t="e">
        <f t="shared" si="56"/>
        <v>#DIV/0!</v>
      </c>
      <c r="T85" s="41" t="e">
        <f t="shared" si="57"/>
        <v>#DIV/0!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42"/>
      <c r="BI85" s="43"/>
      <c r="BJ85" s="43"/>
      <c r="BK85" s="43"/>
      <c r="BL85" s="43"/>
    </row>
    <row r="86" spans="1:64" ht="15.75" x14ac:dyDescent="0.25">
      <c r="A86" s="75"/>
      <c r="B86" s="73" t="s">
        <v>192</v>
      </c>
      <c r="C86" s="205" t="s">
        <v>58</v>
      </c>
      <c r="D86" s="207" t="s">
        <v>193</v>
      </c>
      <c r="E86" s="37"/>
      <c r="F86" s="37">
        <v>9080.56</v>
      </c>
      <c r="G86" s="37">
        <v>5588.05</v>
      </c>
      <c r="H86" s="37"/>
      <c r="I86" s="39">
        <f t="shared" si="52"/>
        <v>0</v>
      </c>
      <c r="J86" s="39">
        <f t="shared" si="52"/>
        <v>3492.51</v>
      </c>
      <c r="K86" s="39">
        <f t="shared" si="52"/>
        <v>0</v>
      </c>
      <c r="L86" s="39">
        <f t="shared" si="53"/>
        <v>0</v>
      </c>
      <c r="M86" s="39">
        <f t="shared" si="53"/>
        <v>3492.51</v>
      </c>
      <c r="N86" s="39">
        <f t="shared" si="53"/>
        <v>0</v>
      </c>
      <c r="O86" s="39">
        <f t="shared" si="54"/>
        <v>0</v>
      </c>
      <c r="P86" s="39">
        <f>F86-J86-G86</f>
        <v>0</v>
      </c>
      <c r="Q86" s="39">
        <f t="shared" si="55"/>
        <v>0</v>
      </c>
      <c r="R86" s="41" t="e">
        <f t="shared" si="56"/>
        <v>#DIV/0!</v>
      </c>
      <c r="S86" s="41">
        <f t="shared" si="56"/>
        <v>0.38461394451443526</v>
      </c>
      <c r="T86" s="41" t="e">
        <f t="shared" si="57"/>
        <v>#DIV/0!</v>
      </c>
      <c r="U86" s="37"/>
      <c r="V86" s="37">
        <v>3492.51</v>
      </c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42"/>
      <c r="BI86" s="43"/>
      <c r="BJ86" s="43"/>
      <c r="BK86" s="43"/>
      <c r="BL86" s="43"/>
    </row>
    <row r="87" spans="1:64" ht="15.75" hidden="1" x14ac:dyDescent="0.25">
      <c r="A87" s="75"/>
      <c r="B87" s="75"/>
      <c r="C87" s="205" t="s">
        <v>156</v>
      </c>
      <c r="D87" s="207" t="s">
        <v>194</v>
      </c>
      <c r="E87" s="37"/>
      <c r="F87" s="37"/>
      <c r="G87" s="37"/>
      <c r="H87" s="37"/>
      <c r="I87" s="39">
        <f t="shared" si="52"/>
        <v>0</v>
      </c>
      <c r="J87" s="39">
        <f t="shared" si="52"/>
        <v>0</v>
      </c>
      <c r="K87" s="39">
        <f t="shared" si="52"/>
        <v>0</v>
      </c>
      <c r="L87" s="39">
        <f t="shared" si="53"/>
        <v>0</v>
      </c>
      <c r="M87" s="39">
        <f t="shared" si="53"/>
        <v>0</v>
      </c>
      <c r="N87" s="39">
        <f t="shared" si="53"/>
        <v>0</v>
      </c>
      <c r="O87" s="39">
        <f t="shared" si="54"/>
        <v>0</v>
      </c>
      <c r="P87" s="39">
        <f t="shared" si="50"/>
        <v>0</v>
      </c>
      <c r="Q87" s="39">
        <f t="shared" si="55"/>
        <v>0</v>
      </c>
      <c r="R87" s="41" t="e">
        <f t="shared" si="56"/>
        <v>#DIV/0!</v>
      </c>
      <c r="S87" s="41" t="e">
        <f t="shared" si="56"/>
        <v>#DIV/0!</v>
      </c>
      <c r="T87" s="41" t="e">
        <f t="shared" si="57"/>
        <v>#DIV/0!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42"/>
      <c r="BI87" s="43"/>
      <c r="BJ87" s="43"/>
      <c r="BK87" s="43"/>
      <c r="BL87" s="43"/>
    </row>
    <row r="88" spans="1:64" ht="15.75" hidden="1" x14ac:dyDescent="0.25">
      <c r="A88" s="75"/>
      <c r="B88" s="75"/>
      <c r="C88" s="213" t="s">
        <v>195</v>
      </c>
      <c r="D88" s="214" t="s">
        <v>196</v>
      </c>
      <c r="E88" s="37"/>
      <c r="F88" s="37"/>
      <c r="G88" s="37"/>
      <c r="H88" s="37"/>
      <c r="I88" s="39">
        <f t="shared" si="52"/>
        <v>0</v>
      </c>
      <c r="J88" s="39">
        <f t="shared" si="52"/>
        <v>0</v>
      </c>
      <c r="K88" s="39">
        <f t="shared" si="52"/>
        <v>0</v>
      </c>
      <c r="L88" s="39">
        <f t="shared" si="53"/>
        <v>0</v>
      </c>
      <c r="M88" s="39">
        <f t="shared" si="53"/>
        <v>0</v>
      </c>
      <c r="N88" s="39">
        <f t="shared" si="53"/>
        <v>0</v>
      </c>
      <c r="O88" s="39">
        <f t="shared" si="54"/>
        <v>0</v>
      </c>
      <c r="P88" s="39">
        <f t="shared" si="50"/>
        <v>0</v>
      </c>
      <c r="Q88" s="39">
        <f t="shared" si="55"/>
        <v>0</v>
      </c>
      <c r="R88" s="41" t="e">
        <f t="shared" si="56"/>
        <v>#DIV/0!</v>
      </c>
      <c r="S88" s="41" t="e">
        <f t="shared" si="56"/>
        <v>#DIV/0!</v>
      </c>
      <c r="T88" s="41" t="e">
        <f t="shared" si="57"/>
        <v>#DIV/0!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42"/>
      <c r="BI88" s="43"/>
      <c r="BJ88" s="43"/>
      <c r="BK88" s="43"/>
      <c r="BL88" s="43"/>
    </row>
    <row r="89" spans="1:64" ht="15.75" x14ac:dyDescent="0.25">
      <c r="A89" s="75"/>
      <c r="B89" s="75" t="s">
        <v>197</v>
      </c>
      <c r="C89" s="210" t="s">
        <v>198</v>
      </c>
      <c r="D89" s="211" t="s">
        <v>199</v>
      </c>
      <c r="E89" s="37"/>
      <c r="F89" s="52">
        <v>148386</v>
      </c>
      <c r="G89" s="52"/>
      <c r="H89" s="37"/>
      <c r="I89" s="39">
        <f t="shared" si="52"/>
        <v>0</v>
      </c>
      <c r="J89" s="39">
        <f t="shared" si="52"/>
        <v>148386</v>
      </c>
      <c r="K89" s="39">
        <f t="shared" si="52"/>
        <v>0</v>
      </c>
      <c r="L89" s="39">
        <f t="shared" si="53"/>
        <v>0</v>
      </c>
      <c r="M89" s="39">
        <f t="shared" si="53"/>
        <v>148386</v>
      </c>
      <c r="N89" s="39">
        <f t="shared" si="53"/>
        <v>0</v>
      </c>
      <c r="O89" s="39">
        <f t="shared" si="54"/>
        <v>0</v>
      </c>
      <c r="P89" s="39">
        <f t="shared" si="50"/>
        <v>0</v>
      </c>
      <c r="Q89" s="39">
        <f t="shared" si="55"/>
        <v>0</v>
      </c>
      <c r="R89" s="41" t="e">
        <f t="shared" si="56"/>
        <v>#DIV/0!</v>
      </c>
      <c r="S89" s="41">
        <f t="shared" si="56"/>
        <v>1</v>
      </c>
      <c r="T89" s="41" t="e">
        <f t="shared" si="57"/>
        <v>#DIV/0!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>
        <v>148386</v>
      </c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42"/>
      <c r="BI89" s="43"/>
      <c r="BJ89" s="43"/>
      <c r="BK89" s="43"/>
      <c r="BL89" s="43"/>
    </row>
    <row r="90" spans="1:64" ht="16.5" hidden="1" customHeight="1" x14ac:dyDescent="0.25">
      <c r="A90" s="75"/>
      <c r="B90" s="75"/>
      <c r="C90" s="35" t="s">
        <v>200</v>
      </c>
      <c r="D90" s="129" t="s">
        <v>201</v>
      </c>
      <c r="E90" s="37"/>
      <c r="F90" s="37"/>
      <c r="G90" s="37"/>
      <c r="H90" s="37"/>
      <c r="I90" s="39">
        <f t="shared" si="52"/>
        <v>0</v>
      </c>
      <c r="J90" s="39">
        <f t="shared" si="52"/>
        <v>0</v>
      </c>
      <c r="K90" s="39">
        <f t="shared" si="52"/>
        <v>0</v>
      </c>
      <c r="L90" s="39">
        <f t="shared" si="53"/>
        <v>0</v>
      </c>
      <c r="M90" s="39">
        <f t="shared" si="53"/>
        <v>0</v>
      </c>
      <c r="N90" s="39">
        <f t="shared" si="53"/>
        <v>0</v>
      </c>
      <c r="O90" s="39">
        <f t="shared" si="54"/>
        <v>0</v>
      </c>
      <c r="P90" s="39">
        <f>F90-J90</f>
        <v>0</v>
      </c>
      <c r="Q90" s="39">
        <f t="shared" si="55"/>
        <v>0</v>
      </c>
      <c r="R90" s="41" t="e">
        <f t="shared" si="56"/>
        <v>#DIV/0!</v>
      </c>
      <c r="S90" s="41" t="e">
        <f t="shared" si="56"/>
        <v>#DIV/0!</v>
      </c>
      <c r="T90" s="41" t="e">
        <f t="shared" si="57"/>
        <v>#DIV/0!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42"/>
      <c r="BI90" s="43"/>
      <c r="BJ90" s="43"/>
      <c r="BK90" s="43"/>
      <c r="BL90" s="43"/>
    </row>
    <row r="91" spans="1:64" ht="45" hidden="1" customHeight="1" x14ac:dyDescent="0.25">
      <c r="A91" s="75"/>
      <c r="B91" s="75"/>
      <c r="C91" s="35" t="s">
        <v>156</v>
      </c>
      <c r="D91" s="137" t="s">
        <v>202</v>
      </c>
      <c r="E91" s="37"/>
      <c r="F91" s="37"/>
      <c r="G91" s="37"/>
      <c r="H91" s="37"/>
      <c r="I91" s="39">
        <f>U91+X91+AA91+AD91+AG91+AJ91+AM91+AP91+AS91+AV91+AY91+BB91</f>
        <v>0</v>
      </c>
      <c r="J91" s="39">
        <f t="shared" si="52"/>
        <v>0</v>
      </c>
      <c r="K91" s="39">
        <f t="shared" si="52"/>
        <v>0</v>
      </c>
      <c r="L91" s="39">
        <f t="shared" si="53"/>
        <v>0</v>
      </c>
      <c r="M91" s="39">
        <f t="shared" si="53"/>
        <v>0</v>
      </c>
      <c r="N91" s="39">
        <f t="shared" si="53"/>
        <v>0</v>
      </c>
      <c r="O91" s="39">
        <f t="shared" si="54"/>
        <v>0</v>
      </c>
      <c r="P91" s="39">
        <f>F91-J91</f>
        <v>0</v>
      </c>
      <c r="Q91" s="39">
        <f t="shared" si="55"/>
        <v>0</v>
      </c>
      <c r="R91" s="41" t="e">
        <f t="shared" si="56"/>
        <v>#DIV/0!</v>
      </c>
      <c r="S91" s="41" t="e">
        <f t="shared" si="56"/>
        <v>#DIV/0!</v>
      </c>
      <c r="T91" s="41" t="e">
        <f t="shared" si="57"/>
        <v>#DIV/0!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42"/>
      <c r="BI91" s="43"/>
      <c r="BJ91" s="43"/>
      <c r="BK91" s="43"/>
      <c r="BL91" s="43"/>
    </row>
    <row r="92" spans="1:64" ht="15.75" hidden="1" customHeight="1" x14ac:dyDescent="0.25">
      <c r="A92" s="75"/>
      <c r="B92" s="75"/>
      <c r="C92" s="35" t="s">
        <v>203</v>
      </c>
      <c r="D92" s="77" t="s">
        <v>204</v>
      </c>
      <c r="E92" s="37"/>
      <c r="F92" s="37"/>
      <c r="G92" s="37"/>
      <c r="H92" s="138"/>
      <c r="I92" s="39">
        <f>U92+X92+AA92+AD92+AG92+AJ92+AM92+AP92+AS92+AV92+AY92+BB92</f>
        <v>0</v>
      </c>
      <c r="J92" s="39">
        <f t="shared" si="52"/>
        <v>0</v>
      </c>
      <c r="K92" s="39">
        <f t="shared" si="52"/>
        <v>0</v>
      </c>
      <c r="L92" s="39">
        <f t="shared" si="53"/>
        <v>0</v>
      </c>
      <c r="M92" s="39">
        <f t="shared" si="53"/>
        <v>0</v>
      </c>
      <c r="N92" s="39">
        <f t="shared" si="53"/>
        <v>0</v>
      </c>
      <c r="O92" s="39">
        <f t="shared" si="54"/>
        <v>0</v>
      </c>
      <c r="P92" s="39">
        <f>F92-J92</f>
        <v>0</v>
      </c>
      <c r="Q92" s="39">
        <f t="shared" si="55"/>
        <v>0</v>
      </c>
      <c r="R92" s="41" t="e">
        <f t="shared" si="56"/>
        <v>#DIV/0!</v>
      </c>
      <c r="S92" s="41" t="e">
        <f t="shared" si="56"/>
        <v>#DIV/0!</v>
      </c>
      <c r="T92" s="41" t="e">
        <f t="shared" si="57"/>
        <v>#DIV/0!</v>
      </c>
      <c r="U92" s="37"/>
      <c r="V92" s="37"/>
      <c r="W92" s="37"/>
      <c r="X92" s="37"/>
      <c r="Y92" s="37"/>
      <c r="Z92" s="37"/>
      <c r="AA92" s="139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42"/>
      <c r="BI92" s="43"/>
      <c r="BJ92" s="43"/>
      <c r="BK92" s="43"/>
      <c r="BL92" s="43"/>
    </row>
    <row r="93" spans="1:64" ht="15.75" hidden="1" customHeight="1" x14ac:dyDescent="0.25">
      <c r="A93" s="140"/>
      <c r="B93" s="140"/>
      <c r="C93" s="103" t="s">
        <v>205</v>
      </c>
      <c r="D93" s="107" t="s">
        <v>206</v>
      </c>
      <c r="E93" s="141"/>
      <c r="F93" s="108"/>
      <c r="G93" s="108"/>
      <c r="H93" s="108"/>
      <c r="I93" s="26">
        <f>U93+X93+AA93+AD93+AG93+AJ93+AM93+AP93+AS93+AV93+AY93+BB93</f>
        <v>0</v>
      </c>
      <c r="J93" s="26">
        <f t="shared" si="52"/>
        <v>0</v>
      </c>
      <c r="K93" s="26">
        <f t="shared" si="52"/>
        <v>0</v>
      </c>
      <c r="L93" s="39">
        <f t="shared" si="53"/>
        <v>0</v>
      </c>
      <c r="M93" s="39">
        <f t="shared" si="53"/>
        <v>0</v>
      </c>
      <c r="N93" s="39">
        <f t="shared" si="53"/>
        <v>0</v>
      </c>
      <c r="O93" s="39">
        <f t="shared" si="54"/>
        <v>0</v>
      </c>
      <c r="P93" s="39">
        <f>F93-J93</f>
        <v>0</v>
      </c>
      <c r="Q93" s="39">
        <f t="shared" si="55"/>
        <v>0</v>
      </c>
      <c r="R93" s="142" t="e">
        <f t="shared" si="56"/>
        <v>#DIV/0!</v>
      </c>
      <c r="S93" s="142" t="e">
        <f t="shared" si="56"/>
        <v>#DIV/0!</v>
      </c>
      <c r="T93" s="142" t="e">
        <f t="shared" si="57"/>
        <v>#DIV/0!</v>
      </c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43"/>
      <c r="BI93" s="144"/>
      <c r="BJ93" s="144"/>
      <c r="BK93" s="144"/>
      <c r="BL93" s="144"/>
    </row>
    <row r="94" spans="1:64" ht="15.75" customHeight="1" x14ac:dyDescent="0.25">
      <c r="A94" s="110"/>
      <c r="B94" s="110"/>
      <c r="C94" s="145"/>
      <c r="D94" s="112" t="s">
        <v>207</v>
      </c>
      <c r="E94" s="113">
        <f>SUM(E95:E98)</f>
        <v>9600</v>
      </c>
      <c r="F94" s="113">
        <f>SUM(F95:F98)</f>
        <v>0</v>
      </c>
      <c r="G94" s="113"/>
      <c r="H94" s="113">
        <f>SUM(H95:H98)</f>
        <v>0</v>
      </c>
      <c r="I94" s="113">
        <f>SUM(I95:I98)</f>
        <v>0</v>
      </c>
      <c r="J94" s="113">
        <f>SUM(J95:J98)</f>
        <v>0</v>
      </c>
      <c r="K94" s="113">
        <f>SUM(K95:K98)</f>
        <v>0</v>
      </c>
      <c r="L94" s="113">
        <f t="shared" si="53"/>
        <v>0</v>
      </c>
      <c r="M94" s="113">
        <f t="shared" si="53"/>
        <v>0</v>
      </c>
      <c r="N94" s="113">
        <f t="shared" si="53"/>
        <v>0</v>
      </c>
      <c r="O94" s="113">
        <f>SUM(O95:O98)</f>
        <v>9600</v>
      </c>
      <c r="P94" s="113">
        <f>SUM(P95:P98)</f>
        <v>0</v>
      </c>
      <c r="Q94" s="113">
        <f>SUM(Q95:Q98)</f>
        <v>0</v>
      </c>
      <c r="R94" s="114">
        <f t="shared" si="56"/>
        <v>0</v>
      </c>
      <c r="S94" s="114" t="e">
        <f t="shared" si="56"/>
        <v>#DIV/0!</v>
      </c>
      <c r="T94" s="114" t="e">
        <f t="shared" si="57"/>
        <v>#DIV/0!</v>
      </c>
      <c r="U94" s="113">
        <f t="shared" ref="U94:BG94" si="58">SUM(U95:U98)</f>
        <v>0</v>
      </c>
      <c r="V94" s="113">
        <f t="shared" si="58"/>
        <v>0</v>
      </c>
      <c r="W94" s="113">
        <f t="shared" si="58"/>
        <v>0</v>
      </c>
      <c r="X94" s="113">
        <f t="shared" si="58"/>
        <v>0</v>
      </c>
      <c r="Y94" s="113">
        <f t="shared" si="58"/>
        <v>0</v>
      </c>
      <c r="Z94" s="113">
        <f t="shared" si="58"/>
        <v>0</v>
      </c>
      <c r="AA94" s="113">
        <f t="shared" si="58"/>
        <v>0</v>
      </c>
      <c r="AB94" s="113">
        <f t="shared" si="58"/>
        <v>0</v>
      </c>
      <c r="AC94" s="113">
        <f t="shared" si="58"/>
        <v>0</v>
      </c>
      <c r="AD94" s="113">
        <f t="shared" si="58"/>
        <v>0</v>
      </c>
      <c r="AE94" s="113">
        <f t="shared" si="58"/>
        <v>0</v>
      </c>
      <c r="AF94" s="113">
        <f t="shared" si="58"/>
        <v>0</v>
      </c>
      <c r="AG94" s="113">
        <f t="shared" si="58"/>
        <v>0</v>
      </c>
      <c r="AH94" s="113">
        <f t="shared" si="58"/>
        <v>0</v>
      </c>
      <c r="AI94" s="113">
        <f t="shared" si="58"/>
        <v>0</v>
      </c>
      <c r="AJ94" s="113">
        <f t="shared" si="58"/>
        <v>0</v>
      </c>
      <c r="AK94" s="113">
        <f t="shared" si="58"/>
        <v>0</v>
      </c>
      <c r="AL94" s="113">
        <f t="shared" si="58"/>
        <v>0</v>
      </c>
      <c r="AM94" s="113">
        <f t="shared" si="58"/>
        <v>0</v>
      </c>
      <c r="AN94" s="113">
        <f t="shared" si="58"/>
        <v>0</v>
      </c>
      <c r="AO94" s="113">
        <f t="shared" si="58"/>
        <v>0</v>
      </c>
      <c r="AP94" s="113">
        <f t="shared" si="58"/>
        <v>0</v>
      </c>
      <c r="AQ94" s="113">
        <f t="shared" si="58"/>
        <v>0</v>
      </c>
      <c r="AR94" s="113">
        <f t="shared" si="58"/>
        <v>0</v>
      </c>
      <c r="AS94" s="113">
        <f t="shared" si="58"/>
        <v>0</v>
      </c>
      <c r="AT94" s="113">
        <f t="shared" si="58"/>
        <v>0</v>
      </c>
      <c r="AU94" s="113">
        <f t="shared" si="58"/>
        <v>0</v>
      </c>
      <c r="AV94" s="113">
        <f t="shared" si="58"/>
        <v>0</v>
      </c>
      <c r="AW94" s="113">
        <f t="shared" si="58"/>
        <v>0</v>
      </c>
      <c r="AX94" s="113">
        <f t="shared" si="58"/>
        <v>0</v>
      </c>
      <c r="AY94" s="113">
        <f t="shared" si="58"/>
        <v>0</v>
      </c>
      <c r="AZ94" s="113">
        <f t="shared" si="58"/>
        <v>0</v>
      </c>
      <c r="BA94" s="113">
        <f t="shared" si="58"/>
        <v>0</v>
      </c>
      <c r="BB94" s="113">
        <f t="shared" si="58"/>
        <v>0</v>
      </c>
      <c r="BC94" s="113">
        <f t="shared" si="58"/>
        <v>0</v>
      </c>
      <c r="BD94" s="113">
        <f t="shared" si="58"/>
        <v>0</v>
      </c>
      <c r="BE94" s="113">
        <f t="shared" si="58"/>
        <v>0</v>
      </c>
      <c r="BF94" s="113">
        <f t="shared" si="58"/>
        <v>0</v>
      </c>
      <c r="BG94" s="113">
        <f t="shared" si="58"/>
        <v>0</v>
      </c>
      <c r="BH94" s="85"/>
      <c r="BI94" s="86"/>
      <c r="BJ94" s="86"/>
      <c r="BK94" s="86"/>
      <c r="BL94" s="86"/>
    </row>
    <row r="95" spans="1:64" ht="15.75" customHeight="1" x14ac:dyDescent="0.25">
      <c r="A95" s="75" t="s">
        <v>208</v>
      </c>
      <c r="B95" s="75"/>
      <c r="C95" s="203" t="s">
        <v>209</v>
      </c>
      <c r="D95" s="212" t="s">
        <v>210</v>
      </c>
      <c r="E95" s="88">
        <v>9600</v>
      </c>
      <c r="F95" s="37"/>
      <c r="G95" s="37"/>
      <c r="H95" s="38"/>
      <c r="I95" s="39">
        <f t="shared" ref="I95:K98" si="59">U95+X95+AA95+AD95+AG95+AJ95+AM95+AP95+AS95+AV95+AY95+BB95</f>
        <v>0</v>
      </c>
      <c r="J95" s="39">
        <f t="shared" si="59"/>
        <v>0</v>
      </c>
      <c r="K95" s="39">
        <f t="shared" si="59"/>
        <v>0</v>
      </c>
      <c r="L95" s="39">
        <f t="shared" si="53"/>
        <v>0</v>
      </c>
      <c r="M95" s="39">
        <f t="shared" si="53"/>
        <v>0</v>
      </c>
      <c r="N95" s="39">
        <f t="shared" si="53"/>
        <v>0</v>
      </c>
      <c r="O95" s="39">
        <f t="shared" ref="O95:P98" si="60">E95-I95</f>
        <v>9600</v>
      </c>
      <c r="P95" s="39">
        <f t="shared" si="60"/>
        <v>0</v>
      </c>
      <c r="Q95" s="39">
        <f t="shared" ref="Q95:Q98" si="61">H95-K95</f>
        <v>0</v>
      </c>
      <c r="R95" s="41">
        <f t="shared" si="56"/>
        <v>0</v>
      </c>
      <c r="S95" s="41" t="e">
        <f t="shared" si="56"/>
        <v>#DIV/0!</v>
      </c>
      <c r="T95" s="41" t="e">
        <f t="shared" si="57"/>
        <v>#DIV/0!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42"/>
      <c r="BI95" s="43"/>
      <c r="BJ95" s="43"/>
      <c r="BK95" s="43"/>
      <c r="BL95" s="43"/>
    </row>
    <row r="96" spans="1:64" ht="15.75" hidden="1" customHeight="1" x14ac:dyDescent="0.25">
      <c r="A96" s="75"/>
      <c r="B96" s="75"/>
      <c r="C96" s="35" t="s">
        <v>211</v>
      </c>
      <c r="D96" s="77" t="s">
        <v>212</v>
      </c>
      <c r="E96" s="37"/>
      <c r="F96" s="37"/>
      <c r="G96" s="37"/>
      <c r="H96" s="38"/>
      <c r="I96" s="39">
        <f t="shared" si="59"/>
        <v>0</v>
      </c>
      <c r="J96" s="39">
        <f t="shared" si="59"/>
        <v>0</v>
      </c>
      <c r="K96" s="39">
        <f t="shared" si="59"/>
        <v>0</v>
      </c>
      <c r="L96" s="39">
        <f t="shared" si="53"/>
        <v>0</v>
      </c>
      <c r="M96" s="39">
        <f t="shared" si="53"/>
        <v>0</v>
      </c>
      <c r="N96" s="39">
        <f t="shared" si="53"/>
        <v>0</v>
      </c>
      <c r="O96" s="39">
        <f t="shared" si="60"/>
        <v>0</v>
      </c>
      <c r="P96" s="39">
        <f t="shared" si="60"/>
        <v>0</v>
      </c>
      <c r="Q96" s="39">
        <f t="shared" si="61"/>
        <v>0</v>
      </c>
      <c r="R96" s="41" t="e">
        <f t="shared" si="56"/>
        <v>#DIV/0!</v>
      </c>
      <c r="S96" s="41" t="e">
        <f t="shared" si="56"/>
        <v>#DIV/0!</v>
      </c>
      <c r="T96" s="41" t="e">
        <f t="shared" si="57"/>
        <v>#DIV/0!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42"/>
      <c r="BI96" s="43"/>
      <c r="BJ96" s="43"/>
      <c r="BK96" s="43"/>
      <c r="BL96" s="43"/>
    </row>
    <row r="97" spans="1:64" ht="15.75" hidden="1" customHeight="1" x14ac:dyDescent="0.25">
      <c r="A97" s="75"/>
      <c r="B97" s="75"/>
      <c r="C97" s="35"/>
      <c r="D97" s="77" t="s">
        <v>213</v>
      </c>
      <c r="E97" s="37"/>
      <c r="F97" s="37"/>
      <c r="G97" s="37"/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41"/>
      <c r="S97" s="41"/>
      <c r="T97" s="41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42"/>
      <c r="BI97" s="43"/>
      <c r="BJ97" s="43"/>
      <c r="BK97" s="43"/>
      <c r="BL97" s="43"/>
    </row>
    <row r="98" spans="1:64" ht="15.75" hidden="1" customHeight="1" x14ac:dyDescent="0.25">
      <c r="A98" s="75"/>
      <c r="B98" s="75"/>
      <c r="C98" s="35" t="s">
        <v>156</v>
      </c>
      <c r="D98" s="77" t="s">
        <v>214</v>
      </c>
      <c r="E98" s="37"/>
      <c r="F98" s="37"/>
      <c r="G98" s="37"/>
      <c r="H98" s="38"/>
      <c r="I98" s="39">
        <f t="shared" si="59"/>
        <v>0</v>
      </c>
      <c r="J98" s="39">
        <f t="shared" si="59"/>
        <v>0</v>
      </c>
      <c r="K98" s="39">
        <f t="shared" si="59"/>
        <v>0</v>
      </c>
      <c r="L98" s="39">
        <f t="shared" si="53"/>
        <v>0</v>
      </c>
      <c r="M98" s="39">
        <f t="shared" si="53"/>
        <v>0</v>
      </c>
      <c r="N98" s="39">
        <f t="shared" si="53"/>
        <v>0</v>
      </c>
      <c r="O98" s="39">
        <f t="shared" si="60"/>
        <v>0</v>
      </c>
      <c r="P98" s="39">
        <f t="shared" si="60"/>
        <v>0</v>
      </c>
      <c r="Q98" s="39">
        <f t="shared" si="61"/>
        <v>0</v>
      </c>
      <c r="R98" s="41" t="e">
        <f t="shared" si="56"/>
        <v>#DIV/0!</v>
      </c>
      <c r="S98" s="41" t="e">
        <f t="shared" si="56"/>
        <v>#DIV/0!</v>
      </c>
      <c r="T98" s="41" t="e">
        <f t="shared" si="57"/>
        <v>#DIV/0!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42"/>
      <c r="BI98" s="43"/>
      <c r="BJ98" s="43"/>
      <c r="BK98" s="43"/>
      <c r="BL98" s="43"/>
    </row>
    <row r="99" spans="1:64" ht="15.75" x14ac:dyDescent="0.25">
      <c r="A99" s="110"/>
      <c r="B99" s="110"/>
      <c r="C99" s="145"/>
      <c r="D99" s="112" t="s">
        <v>215</v>
      </c>
      <c r="E99" s="113">
        <f>E100+E109+E111+E113</f>
        <v>0</v>
      </c>
      <c r="F99" s="113">
        <f>F100+F109+F111+F113</f>
        <v>71868.47</v>
      </c>
      <c r="G99" s="113"/>
      <c r="H99" s="113">
        <f>H100+H109+H111+H113</f>
        <v>142873.54999999999</v>
      </c>
      <c r="I99" s="113">
        <f>I100+I109+I111+I113</f>
        <v>0</v>
      </c>
      <c r="J99" s="113">
        <f>J100+J109+J111+J113</f>
        <v>62483.119999999995</v>
      </c>
      <c r="K99" s="113">
        <f>K100+K109+K111+K113</f>
        <v>39920</v>
      </c>
      <c r="L99" s="113">
        <f>L100+L109+L111+L113</f>
        <v>0</v>
      </c>
      <c r="M99" s="113">
        <f>M100+M109+M111+M113</f>
        <v>62483.119999999995</v>
      </c>
      <c r="N99" s="113">
        <f>N100+N109+N111+N113</f>
        <v>39920</v>
      </c>
      <c r="O99" s="113">
        <f>O100+O109+O111+O113</f>
        <v>0</v>
      </c>
      <c r="P99" s="113">
        <f>P100+P109+P111+P113</f>
        <v>9385.3500000000058</v>
      </c>
      <c r="Q99" s="113">
        <f>Q100+Q109+Q111+Q113</f>
        <v>102953.54999999999</v>
      </c>
      <c r="R99" s="114" t="e">
        <f t="shared" si="56"/>
        <v>#DIV/0!</v>
      </c>
      <c r="S99" s="114">
        <f t="shared" si="56"/>
        <v>0.86940935294712685</v>
      </c>
      <c r="T99" s="114">
        <f t="shared" si="57"/>
        <v>0.27940791000153636</v>
      </c>
      <c r="U99" s="113">
        <f>U100+U109+U111+U113</f>
        <v>0</v>
      </c>
      <c r="V99" s="113">
        <f>V100+V109+V111+V113</f>
        <v>412.5</v>
      </c>
      <c r="W99" s="113">
        <f>W100+W109+W111+W113</f>
        <v>0</v>
      </c>
      <c r="X99" s="113">
        <f>X100+X109+X111+X113</f>
        <v>0</v>
      </c>
      <c r="Y99" s="113">
        <f>Y100+Y109+Y111+Y113</f>
        <v>15660.66</v>
      </c>
      <c r="Z99" s="113">
        <f>Z100+Z109+Z111+Z113</f>
        <v>0</v>
      </c>
      <c r="AA99" s="113">
        <f>AA100+AA109+AA111+AA113</f>
        <v>0</v>
      </c>
      <c r="AB99" s="113">
        <f>AB100+AB109+AB111+AB113</f>
        <v>36084.959999999999</v>
      </c>
      <c r="AC99" s="113">
        <f>AC100+AC109+AC111+AC113</f>
        <v>0</v>
      </c>
      <c r="AD99" s="113">
        <f>AD100+AD109+AD111+AD113</f>
        <v>0</v>
      </c>
      <c r="AE99" s="113">
        <f>AE100+AE109+AE111+AE113</f>
        <v>0</v>
      </c>
      <c r="AF99" s="113">
        <f>AF100+AF109+AF111+AF113</f>
        <v>11360</v>
      </c>
      <c r="AG99" s="113">
        <f>AG100+AG109+AG111+AG113</f>
        <v>0</v>
      </c>
      <c r="AH99" s="113">
        <f>AH100+AH109+AH111+AH113</f>
        <v>10250</v>
      </c>
      <c r="AI99" s="113">
        <f>AI100+AI109+AI111+AI113</f>
        <v>13760</v>
      </c>
      <c r="AJ99" s="113">
        <f>AJ100+AJ109+AJ111+AJ113</f>
        <v>0</v>
      </c>
      <c r="AK99" s="113">
        <f>AK100+AK109+AK111+AK113</f>
        <v>0</v>
      </c>
      <c r="AL99" s="113">
        <f>AL100+AL109+AL111+AL113</f>
        <v>14800</v>
      </c>
      <c r="AM99" s="113">
        <f>AM100+AM109+AM111+AM113</f>
        <v>0</v>
      </c>
      <c r="AN99" s="113">
        <f>AN100+AN109+AN111+AN113</f>
        <v>75</v>
      </c>
      <c r="AO99" s="113">
        <f>AO100+AO109+AO111+AO113</f>
        <v>0</v>
      </c>
      <c r="AP99" s="113">
        <f>AP100+AP109+AP111+AP113</f>
        <v>0</v>
      </c>
      <c r="AQ99" s="113">
        <f>AQ100+AQ109+AQ111+AQ113</f>
        <v>0</v>
      </c>
      <c r="AR99" s="113">
        <f>AR100+AR109+AR111+AR113</f>
        <v>0</v>
      </c>
      <c r="AS99" s="113">
        <f>AS100+AS109+AS111+AS113</f>
        <v>0</v>
      </c>
      <c r="AT99" s="113">
        <f>AT100+AT109+AT111+AT113</f>
        <v>0</v>
      </c>
      <c r="AU99" s="113">
        <f>AU100+AU109+AU111+AU113</f>
        <v>0</v>
      </c>
      <c r="AV99" s="113">
        <f>AV100+AV109+AV111+AV113</f>
        <v>0</v>
      </c>
      <c r="AW99" s="113">
        <f>AW100+AW109+AW111+AW113</f>
        <v>0</v>
      </c>
      <c r="AX99" s="113">
        <f>AX100+AX109+AX111+AX113</f>
        <v>0</v>
      </c>
      <c r="AY99" s="113">
        <f>AY100+AY109+AY111+AY113</f>
        <v>0</v>
      </c>
      <c r="AZ99" s="113">
        <f>AZ100+AZ109+AZ111+AZ113</f>
        <v>0</v>
      </c>
      <c r="BA99" s="113">
        <f>BA100+BA109+BA111+BA113</f>
        <v>0</v>
      </c>
      <c r="BB99" s="113">
        <f>BB100+BB109+BB111+BB113</f>
        <v>0</v>
      </c>
      <c r="BC99" s="113">
        <f>BC100+BC109+BC111+BC113</f>
        <v>0</v>
      </c>
      <c r="BD99" s="113">
        <f>BD100+BD109+BD111+BD113</f>
        <v>0</v>
      </c>
      <c r="BE99" s="113">
        <f>BE100+BE109+BE111+BE113</f>
        <v>0</v>
      </c>
      <c r="BF99" s="113">
        <f>BF100+BF109+BF111+BF113</f>
        <v>0</v>
      </c>
      <c r="BG99" s="113">
        <f>BG100+BG109+BG111+BG113</f>
        <v>0</v>
      </c>
      <c r="BH99" s="146"/>
      <c r="BI99" s="147"/>
      <c r="BJ99" s="147"/>
      <c r="BK99" s="147"/>
      <c r="BL99" s="147"/>
    </row>
    <row r="100" spans="1:64" ht="15.75" x14ac:dyDescent="0.25">
      <c r="A100" s="148"/>
      <c r="B100" s="148"/>
      <c r="C100" s="149"/>
      <c r="D100" s="150" t="s">
        <v>216</v>
      </c>
      <c r="E100" s="151">
        <f t="shared" ref="E100:K100" si="62">SUM(E101:E108)</f>
        <v>0</v>
      </c>
      <c r="F100" s="151">
        <f t="shared" si="62"/>
        <v>71868.47</v>
      </c>
      <c r="G100" s="151"/>
      <c r="H100" s="151">
        <f t="shared" si="62"/>
        <v>0</v>
      </c>
      <c r="I100" s="151">
        <f t="shared" si="62"/>
        <v>0</v>
      </c>
      <c r="J100" s="151">
        <f t="shared" si="62"/>
        <v>62483.119999999995</v>
      </c>
      <c r="K100" s="151">
        <f t="shared" si="62"/>
        <v>0</v>
      </c>
      <c r="L100" s="152">
        <f t="shared" ref="L100:N104" si="63">IF(BE100=0,SUM(U100+X100+AA100+AD100+AG100+AJ100+AM100+AP100+AS100+AV100+AY100+BB100),BE100)</f>
        <v>0</v>
      </c>
      <c r="M100" s="152">
        <f t="shared" si="63"/>
        <v>62483.119999999995</v>
      </c>
      <c r="N100" s="152">
        <f t="shared" si="63"/>
        <v>0</v>
      </c>
      <c r="O100" s="151">
        <f>SUM(O101:O108)</f>
        <v>0</v>
      </c>
      <c r="P100" s="151">
        <f>SUM(P101:P108)</f>
        <v>9385.3500000000058</v>
      </c>
      <c r="Q100" s="151">
        <f>SUM(Q101:Q108)</f>
        <v>0</v>
      </c>
      <c r="R100" s="153" t="e">
        <f t="shared" ref="R100:S107" si="64">I100/E100</f>
        <v>#DIV/0!</v>
      </c>
      <c r="S100" s="153">
        <f t="shared" si="64"/>
        <v>0.86940935294712685</v>
      </c>
      <c r="T100" s="153" t="e">
        <f t="shared" si="57"/>
        <v>#DIV/0!</v>
      </c>
      <c r="U100" s="151">
        <f t="shared" ref="U100:BG100" si="65">SUM(U101:U108)</f>
        <v>0</v>
      </c>
      <c r="V100" s="151">
        <f t="shared" si="65"/>
        <v>412.5</v>
      </c>
      <c r="W100" s="151">
        <f t="shared" si="65"/>
        <v>0</v>
      </c>
      <c r="X100" s="151">
        <f t="shared" si="65"/>
        <v>0</v>
      </c>
      <c r="Y100" s="151">
        <f t="shared" si="65"/>
        <v>15660.66</v>
      </c>
      <c r="Z100" s="151">
        <f t="shared" si="65"/>
        <v>0</v>
      </c>
      <c r="AA100" s="151">
        <f t="shared" si="65"/>
        <v>0</v>
      </c>
      <c r="AB100" s="151">
        <f>SUM(AB101:AB108)</f>
        <v>36084.959999999999</v>
      </c>
      <c r="AC100" s="151">
        <f t="shared" si="65"/>
        <v>0</v>
      </c>
      <c r="AD100" s="151">
        <f t="shared" si="65"/>
        <v>0</v>
      </c>
      <c r="AE100" s="151">
        <f t="shared" si="65"/>
        <v>0</v>
      </c>
      <c r="AF100" s="151">
        <f t="shared" si="65"/>
        <v>0</v>
      </c>
      <c r="AG100" s="151">
        <f t="shared" si="65"/>
        <v>0</v>
      </c>
      <c r="AH100" s="151">
        <f t="shared" si="65"/>
        <v>10250</v>
      </c>
      <c r="AI100" s="151">
        <f t="shared" si="65"/>
        <v>0</v>
      </c>
      <c r="AJ100" s="151">
        <f t="shared" si="65"/>
        <v>0</v>
      </c>
      <c r="AK100" s="151">
        <f t="shared" si="65"/>
        <v>0</v>
      </c>
      <c r="AL100" s="151">
        <f t="shared" si="65"/>
        <v>0</v>
      </c>
      <c r="AM100" s="151">
        <f t="shared" si="65"/>
        <v>0</v>
      </c>
      <c r="AN100" s="151">
        <f t="shared" si="65"/>
        <v>75</v>
      </c>
      <c r="AO100" s="151">
        <f t="shared" si="65"/>
        <v>0</v>
      </c>
      <c r="AP100" s="151">
        <f t="shared" si="65"/>
        <v>0</v>
      </c>
      <c r="AQ100" s="151">
        <f t="shared" si="65"/>
        <v>0</v>
      </c>
      <c r="AR100" s="151">
        <f t="shared" si="65"/>
        <v>0</v>
      </c>
      <c r="AS100" s="151">
        <f t="shared" si="65"/>
        <v>0</v>
      </c>
      <c r="AT100" s="151">
        <f t="shared" si="65"/>
        <v>0</v>
      </c>
      <c r="AU100" s="151">
        <f t="shared" si="65"/>
        <v>0</v>
      </c>
      <c r="AV100" s="151">
        <f t="shared" si="65"/>
        <v>0</v>
      </c>
      <c r="AW100" s="151">
        <f t="shared" si="65"/>
        <v>0</v>
      </c>
      <c r="AX100" s="151">
        <f t="shared" si="65"/>
        <v>0</v>
      </c>
      <c r="AY100" s="151">
        <f t="shared" si="65"/>
        <v>0</v>
      </c>
      <c r="AZ100" s="151">
        <f t="shared" si="65"/>
        <v>0</v>
      </c>
      <c r="BA100" s="151">
        <f t="shared" si="65"/>
        <v>0</v>
      </c>
      <c r="BB100" s="151">
        <f t="shared" si="65"/>
        <v>0</v>
      </c>
      <c r="BC100" s="151">
        <f t="shared" si="65"/>
        <v>0</v>
      </c>
      <c r="BD100" s="151">
        <f t="shared" si="65"/>
        <v>0</v>
      </c>
      <c r="BE100" s="151">
        <f t="shared" si="65"/>
        <v>0</v>
      </c>
      <c r="BF100" s="151">
        <f t="shared" si="65"/>
        <v>0</v>
      </c>
      <c r="BG100" s="151">
        <f t="shared" si="65"/>
        <v>0</v>
      </c>
      <c r="BH100" s="154"/>
      <c r="BI100" s="155"/>
      <c r="BJ100" s="155"/>
      <c r="BK100" s="155"/>
      <c r="BL100" s="155"/>
    </row>
    <row r="101" spans="1:64" ht="15.75" hidden="1" x14ac:dyDescent="0.25">
      <c r="A101" s="34"/>
      <c r="B101" s="34"/>
      <c r="C101" s="35"/>
      <c r="D101" s="36" t="s">
        <v>217</v>
      </c>
      <c r="E101" s="37"/>
      <c r="F101" s="37"/>
      <c r="G101" s="37"/>
      <c r="H101" s="37"/>
      <c r="I101" s="39">
        <f t="shared" ref="I101:K107" si="66">U101+X101+AA101+AD101+AG101+AJ101+AM101+AP101+AS101+AV101+AY101+BB101</f>
        <v>0</v>
      </c>
      <c r="J101" s="39">
        <f t="shared" si="66"/>
        <v>0</v>
      </c>
      <c r="K101" s="39">
        <f t="shared" si="66"/>
        <v>0</v>
      </c>
      <c r="L101" s="39">
        <f t="shared" si="63"/>
        <v>0</v>
      </c>
      <c r="M101" s="39">
        <f t="shared" si="63"/>
        <v>0</v>
      </c>
      <c r="N101" s="39">
        <f t="shared" si="63"/>
        <v>0</v>
      </c>
      <c r="O101" s="39">
        <f t="shared" ref="O101:P108" si="67">E101-I101</f>
        <v>0</v>
      </c>
      <c r="P101" s="39">
        <f t="shared" si="67"/>
        <v>0</v>
      </c>
      <c r="Q101" s="39">
        <f t="shared" ref="Q101:Q107" si="68">H101-K101</f>
        <v>0</v>
      </c>
      <c r="R101" s="156" t="e">
        <f t="shared" si="64"/>
        <v>#DIV/0!</v>
      </c>
      <c r="S101" s="156" t="e">
        <f t="shared" si="64"/>
        <v>#DIV/0!</v>
      </c>
      <c r="T101" s="156" t="e">
        <f t="shared" si="57"/>
        <v>#DIV/0!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62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42"/>
      <c r="BI101" s="43"/>
      <c r="BJ101" s="43"/>
      <c r="BK101" s="43"/>
      <c r="BL101" s="43"/>
    </row>
    <row r="102" spans="1:64" ht="15.75" hidden="1" x14ac:dyDescent="0.25">
      <c r="A102" s="34"/>
      <c r="B102" s="34"/>
      <c r="C102" s="35" t="s">
        <v>156</v>
      </c>
      <c r="D102" s="77" t="s">
        <v>218</v>
      </c>
      <c r="E102" s="37"/>
      <c r="F102" s="37"/>
      <c r="G102" s="37"/>
      <c r="H102" s="37"/>
      <c r="I102" s="39">
        <f t="shared" si="66"/>
        <v>0</v>
      </c>
      <c r="J102" s="39">
        <f t="shared" si="66"/>
        <v>0</v>
      </c>
      <c r="K102" s="39">
        <f t="shared" si="66"/>
        <v>0</v>
      </c>
      <c r="L102" s="39">
        <f t="shared" si="63"/>
        <v>0</v>
      </c>
      <c r="M102" s="39">
        <f t="shared" si="63"/>
        <v>0</v>
      </c>
      <c r="N102" s="39">
        <f t="shared" si="63"/>
        <v>0</v>
      </c>
      <c r="O102" s="39">
        <f t="shared" si="67"/>
        <v>0</v>
      </c>
      <c r="P102" s="39">
        <f t="shared" si="67"/>
        <v>0</v>
      </c>
      <c r="Q102" s="39">
        <f t="shared" si="68"/>
        <v>0</v>
      </c>
      <c r="R102" s="156" t="e">
        <f t="shared" si="64"/>
        <v>#DIV/0!</v>
      </c>
      <c r="S102" s="156" t="e">
        <f t="shared" si="64"/>
        <v>#DIV/0!</v>
      </c>
      <c r="T102" s="156" t="e">
        <f t="shared" si="57"/>
        <v>#DIV/0!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62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42"/>
      <c r="BI102" s="43"/>
      <c r="BJ102" s="43"/>
      <c r="BK102" s="43"/>
      <c r="BL102" s="43"/>
    </row>
    <row r="103" spans="1:64" ht="15.75" hidden="1" x14ac:dyDescent="0.25">
      <c r="A103" s="34"/>
      <c r="B103" s="34"/>
      <c r="C103" s="35" t="s">
        <v>219</v>
      </c>
      <c r="D103" s="77" t="s">
        <v>220</v>
      </c>
      <c r="E103" s="37"/>
      <c r="F103" s="37"/>
      <c r="G103" s="37"/>
      <c r="H103" s="37"/>
      <c r="I103" s="39">
        <f t="shared" si="66"/>
        <v>0</v>
      </c>
      <c r="J103" s="39">
        <f t="shared" si="66"/>
        <v>0</v>
      </c>
      <c r="K103" s="39">
        <f t="shared" si="66"/>
        <v>0</v>
      </c>
      <c r="L103" s="39">
        <f t="shared" si="63"/>
        <v>0</v>
      </c>
      <c r="M103" s="39">
        <f t="shared" si="63"/>
        <v>0</v>
      </c>
      <c r="N103" s="39">
        <f t="shared" si="63"/>
        <v>0</v>
      </c>
      <c r="O103" s="39">
        <f t="shared" si="67"/>
        <v>0</v>
      </c>
      <c r="P103" s="39">
        <f t="shared" si="67"/>
        <v>0</v>
      </c>
      <c r="Q103" s="39">
        <f t="shared" si="68"/>
        <v>0</v>
      </c>
      <c r="R103" s="156" t="e">
        <f t="shared" si="64"/>
        <v>#DIV/0!</v>
      </c>
      <c r="S103" s="156" t="e">
        <f t="shared" si="64"/>
        <v>#DIV/0!</v>
      </c>
      <c r="T103" s="156" t="e">
        <f t="shared" si="57"/>
        <v>#DIV/0!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62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42"/>
      <c r="BI103" s="43"/>
      <c r="BJ103" s="43"/>
      <c r="BK103" s="43"/>
      <c r="BL103" s="43"/>
    </row>
    <row r="104" spans="1:64" ht="18" customHeight="1" x14ac:dyDescent="0.25">
      <c r="A104" s="34"/>
      <c r="B104" s="34" t="s">
        <v>221</v>
      </c>
      <c r="C104" s="203" t="s">
        <v>182</v>
      </c>
      <c r="D104" s="212" t="s">
        <v>222</v>
      </c>
      <c r="E104" s="37"/>
      <c r="F104" s="63">
        <f>412.5</f>
        <v>412.5</v>
      </c>
      <c r="G104" s="37"/>
      <c r="H104" s="37"/>
      <c r="I104" s="39">
        <f t="shared" si="66"/>
        <v>0</v>
      </c>
      <c r="J104" s="39">
        <f t="shared" si="66"/>
        <v>412.5</v>
      </c>
      <c r="K104" s="39">
        <f t="shared" si="66"/>
        <v>0</v>
      </c>
      <c r="L104" s="39">
        <f t="shared" si="63"/>
        <v>0</v>
      </c>
      <c r="M104" s="39">
        <f t="shared" si="63"/>
        <v>412.5</v>
      </c>
      <c r="N104" s="39">
        <f t="shared" si="63"/>
        <v>0</v>
      </c>
      <c r="O104" s="39">
        <f t="shared" si="67"/>
        <v>0</v>
      </c>
      <c r="P104" s="39">
        <f t="shared" si="67"/>
        <v>0</v>
      </c>
      <c r="Q104" s="39">
        <f t="shared" si="68"/>
        <v>0</v>
      </c>
      <c r="R104" s="156" t="e">
        <f t="shared" si="64"/>
        <v>#DIV/0!</v>
      </c>
      <c r="S104" s="156">
        <f t="shared" si="64"/>
        <v>1</v>
      </c>
      <c r="T104" s="156" t="e">
        <f t="shared" si="57"/>
        <v>#DIV/0!</v>
      </c>
      <c r="U104" s="37"/>
      <c r="V104" s="37">
        <v>412.5</v>
      </c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62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42"/>
      <c r="BI104" s="43"/>
      <c r="BJ104" s="43"/>
      <c r="BK104" s="43"/>
      <c r="BL104" s="43"/>
    </row>
    <row r="105" spans="1:64" ht="15.75" x14ac:dyDescent="0.25">
      <c r="A105" s="34"/>
      <c r="B105" s="73" t="s">
        <v>223</v>
      </c>
      <c r="C105" s="203" t="s">
        <v>182</v>
      </c>
      <c r="D105" s="212" t="s">
        <v>222</v>
      </c>
      <c r="E105" s="37"/>
      <c r="F105" s="52">
        <f>2187.61+459+323.85+1130+388.49+200+1031.5+1042.55+225+119+4194+9525+1008+42+120+1827+59.9+14.5+2300+1130+156.35+150+62.16+287.8+166.25+2354+2205+1149+10969.4+2520+75+44.26+358.9+1990+799+259.45+1296+4626</f>
        <v>56795.97</v>
      </c>
      <c r="G105" s="52"/>
      <c r="H105" s="37"/>
      <c r="I105" s="39">
        <f t="shared" si="66"/>
        <v>0</v>
      </c>
      <c r="J105" s="39">
        <f t="shared" si="66"/>
        <v>47410.619999999995</v>
      </c>
      <c r="K105" s="39">
        <f t="shared" si="66"/>
        <v>0</v>
      </c>
      <c r="L105" s="39">
        <f t="shared" ref="L105:N107" si="69">IF(BE105=0,SUM(U105+X105+AA105+AD105+AG105+AJ105+AM105+AP105+AS105+AV105+AY105+BB105),BE105)</f>
        <v>0</v>
      </c>
      <c r="M105" s="39">
        <f t="shared" si="69"/>
        <v>47410.619999999995</v>
      </c>
      <c r="N105" s="39">
        <f t="shared" si="69"/>
        <v>0</v>
      </c>
      <c r="O105" s="39">
        <f t="shared" si="67"/>
        <v>0</v>
      </c>
      <c r="P105" s="39">
        <f t="shared" si="67"/>
        <v>9385.3500000000058</v>
      </c>
      <c r="Q105" s="39">
        <f t="shared" si="68"/>
        <v>0</v>
      </c>
      <c r="R105" s="156" t="e">
        <f>I105/E105</f>
        <v>#DIV/0!</v>
      </c>
      <c r="S105" s="156">
        <f t="shared" si="64"/>
        <v>0.83475324041476873</v>
      </c>
      <c r="T105" s="156" t="e">
        <f t="shared" si="57"/>
        <v>#DIV/0!</v>
      </c>
      <c r="U105" s="37"/>
      <c r="V105" s="37"/>
      <c r="W105" s="37"/>
      <c r="X105" s="37"/>
      <c r="Y105" s="37">
        <f>459+323.85+1130+1031.5+119+4194+2300+1130+156.35+62.16+287.8+2520+1947</f>
        <v>15660.66</v>
      </c>
      <c r="Z105" s="37"/>
      <c r="AA105" s="37"/>
      <c r="AB105" s="37">
        <f>2205+4626+9525+166.25+2354+150+1296+44.26+1058.45</f>
        <v>21424.959999999999</v>
      </c>
      <c r="AC105" s="37"/>
      <c r="AD105" s="37"/>
      <c r="AE105" s="37"/>
      <c r="AF105" s="37"/>
      <c r="AG105" s="37"/>
      <c r="AH105" s="37">
        <f>10250</f>
        <v>10250</v>
      </c>
      <c r="AI105" s="37"/>
      <c r="AJ105" s="37"/>
      <c r="AK105" s="37"/>
      <c r="AL105" s="37"/>
      <c r="AM105" s="37"/>
      <c r="AN105" s="37">
        <v>75</v>
      </c>
      <c r="AO105" s="37"/>
      <c r="AP105" s="62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42"/>
      <c r="BI105" s="43"/>
      <c r="BJ105" s="43"/>
      <c r="BK105" s="43"/>
      <c r="BL105" s="43"/>
    </row>
    <row r="106" spans="1:64" ht="15.75" hidden="1" x14ac:dyDescent="0.25">
      <c r="A106" s="34"/>
      <c r="B106" s="34"/>
      <c r="C106" s="203"/>
      <c r="D106" s="204" t="s">
        <v>217</v>
      </c>
      <c r="E106" s="37"/>
      <c r="F106" s="37"/>
      <c r="G106" s="37"/>
      <c r="H106" s="37"/>
      <c r="I106" s="39">
        <f t="shared" si="66"/>
        <v>0</v>
      </c>
      <c r="J106" s="39">
        <f t="shared" si="66"/>
        <v>0</v>
      </c>
      <c r="K106" s="39">
        <f t="shared" si="66"/>
        <v>0</v>
      </c>
      <c r="L106" s="39">
        <f t="shared" si="69"/>
        <v>0</v>
      </c>
      <c r="M106" s="39">
        <f t="shared" si="69"/>
        <v>0</v>
      </c>
      <c r="N106" s="39">
        <f t="shared" si="69"/>
        <v>0</v>
      </c>
      <c r="O106" s="39">
        <f t="shared" si="67"/>
        <v>0</v>
      </c>
      <c r="P106" s="39">
        <f t="shared" si="67"/>
        <v>0</v>
      </c>
      <c r="Q106" s="39">
        <f t="shared" si="68"/>
        <v>0</v>
      </c>
      <c r="R106" s="156" t="e">
        <f>I106/E106</f>
        <v>#DIV/0!</v>
      </c>
      <c r="S106" s="156" t="e">
        <f t="shared" si="64"/>
        <v>#DIV/0!</v>
      </c>
      <c r="T106" s="156" t="e">
        <f t="shared" si="57"/>
        <v>#DIV/0!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62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42"/>
      <c r="BI106" s="43"/>
      <c r="BJ106" s="43"/>
      <c r="BK106" s="43"/>
      <c r="BL106" s="43"/>
    </row>
    <row r="107" spans="1:64" ht="15.75" x14ac:dyDescent="0.25">
      <c r="A107" s="34"/>
      <c r="B107" s="73" t="s">
        <v>224</v>
      </c>
      <c r="C107" s="215" t="s">
        <v>225</v>
      </c>
      <c r="D107" s="216" t="s">
        <v>226</v>
      </c>
      <c r="E107" s="37"/>
      <c r="F107" s="37">
        <v>14660</v>
      </c>
      <c r="G107" s="37"/>
      <c r="H107" s="37"/>
      <c r="I107" s="39">
        <f t="shared" si="66"/>
        <v>0</v>
      </c>
      <c r="J107" s="39">
        <f t="shared" si="66"/>
        <v>14660</v>
      </c>
      <c r="K107" s="39">
        <f t="shared" si="66"/>
        <v>0</v>
      </c>
      <c r="L107" s="39">
        <f t="shared" si="69"/>
        <v>0</v>
      </c>
      <c r="M107" s="39">
        <f t="shared" si="69"/>
        <v>14660</v>
      </c>
      <c r="N107" s="39">
        <f t="shared" si="69"/>
        <v>0</v>
      </c>
      <c r="O107" s="39">
        <f t="shared" si="67"/>
        <v>0</v>
      </c>
      <c r="P107" s="39">
        <f t="shared" si="67"/>
        <v>0</v>
      </c>
      <c r="Q107" s="39">
        <f t="shared" si="68"/>
        <v>0</v>
      </c>
      <c r="R107" s="156" t="e">
        <f>I107/E107</f>
        <v>#DIV/0!</v>
      </c>
      <c r="S107" s="156">
        <f t="shared" si="64"/>
        <v>1</v>
      </c>
      <c r="T107" s="156" t="e">
        <f t="shared" si="57"/>
        <v>#DIV/0!</v>
      </c>
      <c r="U107" s="37"/>
      <c r="V107" s="37"/>
      <c r="W107" s="37"/>
      <c r="X107" s="37"/>
      <c r="Y107" s="37"/>
      <c r="Z107" s="37"/>
      <c r="AA107" s="37"/>
      <c r="AB107" s="37">
        <v>14660</v>
      </c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62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42"/>
      <c r="BI107" s="43"/>
      <c r="BJ107" s="43"/>
      <c r="BK107" s="43"/>
      <c r="BL107" s="43"/>
    </row>
    <row r="108" spans="1:64" ht="15.75" hidden="1" x14ac:dyDescent="0.25">
      <c r="A108" s="34"/>
      <c r="B108" s="34"/>
      <c r="C108" s="35"/>
      <c r="D108" s="77" t="s">
        <v>227</v>
      </c>
      <c r="E108" s="37"/>
      <c r="F108" s="37"/>
      <c r="G108" s="37"/>
      <c r="H108" s="37"/>
      <c r="I108" s="39">
        <f>U108+X108+AA108+AD108+AG108+AJ108+AM108+AP108+AS108+AV108+AY108+BB108</f>
        <v>0</v>
      </c>
      <c r="J108" s="39">
        <f>V108+Y108+AB108+AE108+AH108+AK108+AN108+AQ108+AT108+AW108+AZ108+BC108</f>
        <v>0</v>
      </c>
      <c r="K108" s="39">
        <f>W108+Z108+AC108+AF108+AI108+AL108+AO108+AR108+AU108+AX108+BA108+BD108</f>
        <v>0</v>
      </c>
      <c r="L108" s="39">
        <f t="shared" ref="L108:N135" si="70">IF(BE108=0,SUM(U108+X108+AA108+AD108+AG108+AJ108+AM108+AP108+AS108+AV108+AY108+BB108),BE108)</f>
        <v>0</v>
      </c>
      <c r="M108" s="39">
        <f t="shared" si="70"/>
        <v>0</v>
      </c>
      <c r="N108" s="39">
        <f t="shared" si="70"/>
        <v>0</v>
      </c>
      <c r="O108" s="39">
        <f t="shared" si="67"/>
        <v>0</v>
      </c>
      <c r="P108" s="39">
        <f t="shared" si="67"/>
        <v>0</v>
      </c>
      <c r="Q108" s="39">
        <f>H108-K108</f>
        <v>0</v>
      </c>
      <c r="R108" s="156" t="e">
        <f>I108/E108</f>
        <v>#DIV/0!</v>
      </c>
      <c r="S108" s="156" t="e">
        <f>J108/F108</f>
        <v>#DIV/0!</v>
      </c>
      <c r="T108" s="156" t="e">
        <f>K108/H108</f>
        <v>#DIV/0!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62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42"/>
      <c r="BI108" s="43"/>
      <c r="BJ108" s="43"/>
      <c r="BK108" s="43"/>
      <c r="BL108" s="43"/>
    </row>
    <row r="109" spans="1:64" ht="15.75" x14ac:dyDescent="0.25">
      <c r="A109" s="148"/>
      <c r="B109" s="148"/>
      <c r="C109" s="149"/>
      <c r="D109" s="150" t="s">
        <v>228</v>
      </c>
      <c r="E109" s="151">
        <f>SUM(E110:E110)</f>
        <v>0</v>
      </c>
      <c r="F109" s="151">
        <f>SUM(F110:F110)</f>
        <v>0</v>
      </c>
      <c r="G109" s="151"/>
      <c r="H109" s="151">
        <f>SUM(H110:H110)</f>
        <v>142873.54999999999</v>
      </c>
      <c r="I109" s="151">
        <f>SUM(I110:I110)</f>
        <v>0</v>
      </c>
      <c r="J109" s="157">
        <f>SUM(J110:J110)</f>
        <v>0</v>
      </c>
      <c r="K109" s="157">
        <f>SUM(K110:K110)</f>
        <v>39920</v>
      </c>
      <c r="L109" s="157">
        <f t="shared" si="70"/>
        <v>0</v>
      </c>
      <c r="M109" s="157">
        <f t="shared" si="70"/>
        <v>0</v>
      </c>
      <c r="N109" s="157">
        <f t="shared" si="70"/>
        <v>39920</v>
      </c>
      <c r="O109" s="157">
        <f>SUM(O110:O110)</f>
        <v>0</v>
      </c>
      <c r="P109" s="157">
        <f>SUM(P110:P110)</f>
        <v>0</v>
      </c>
      <c r="Q109" s="157">
        <f>SUM(Q110:Q110)</f>
        <v>102953.54999999999</v>
      </c>
      <c r="R109" s="157" t="e">
        <f>SUM(R110:R110)</f>
        <v>#DIV/0!</v>
      </c>
      <c r="S109" s="157" t="e">
        <f>SUM(S110:S110)</f>
        <v>#DIV/0!</v>
      </c>
      <c r="T109" s="157">
        <f>SUM(T110:T110)</f>
        <v>0.27940791000153636</v>
      </c>
      <c r="U109" s="151">
        <f>SUM(U110:U110)</f>
        <v>0</v>
      </c>
      <c r="V109" s="151">
        <f>SUM(V110:V110)</f>
        <v>0</v>
      </c>
      <c r="W109" s="151">
        <f>SUM(W110:W110)</f>
        <v>0</v>
      </c>
      <c r="X109" s="151">
        <f>SUM(X110:X110)</f>
        <v>0</v>
      </c>
      <c r="Y109" s="151">
        <f>SUM(Y110:Y110)</f>
        <v>0</v>
      </c>
      <c r="Z109" s="151">
        <f>SUM(Z110:Z110)</f>
        <v>0</v>
      </c>
      <c r="AA109" s="151">
        <f>SUM(AA110:AA110)</f>
        <v>0</v>
      </c>
      <c r="AB109" s="151">
        <f>SUM(AB110:AB110)</f>
        <v>0</v>
      </c>
      <c r="AC109" s="151">
        <f>SUM(AC110:AC110)</f>
        <v>0</v>
      </c>
      <c r="AD109" s="151">
        <f>SUM(AD110:AD110)</f>
        <v>0</v>
      </c>
      <c r="AE109" s="151">
        <f>SUM(AE110:AE110)</f>
        <v>0</v>
      </c>
      <c r="AF109" s="151">
        <f>SUM(AF110:AF110)</f>
        <v>11360</v>
      </c>
      <c r="AG109" s="151">
        <f>SUM(AG110:AG110)</f>
        <v>0</v>
      </c>
      <c r="AH109" s="151">
        <f>SUM(AH110:AH110)</f>
        <v>0</v>
      </c>
      <c r="AI109" s="151">
        <f>SUM(AI110:AI110)</f>
        <v>13760</v>
      </c>
      <c r="AJ109" s="151">
        <f>SUM(AJ110:AJ110)</f>
        <v>0</v>
      </c>
      <c r="AK109" s="151">
        <f>SUM(AK110:AK110)</f>
        <v>0</v>
      </c>
      <c r="AL109" s="151">
        <f>SUM(AL110:AL110)</f>
        <v>14800</v>
      </c>
      <c r="AM109" s="151">
        <f>SUM(AM110:AM110)</f>
        <v>0</v>
      </c>
      <c r="AN109" s="151">
        <f>SUM(AN110:AN110)</f>
        <v>0</v>
      </c>
      <c r="AO109" s="151">
        <f>SUM(AO110:AO110)</f>
        <v>0</v>
      </c>
      <c r="AP109" s="151">
        <f>SUM(AP110:AP110)</f>
        <v>0</v>
      </c>
      <c r="AQ109" s="151">
        <f>SUM(AQ110:AQ110)</f>
        <v>0</v>
      </c>
      <c r="AR109" s="151">
        <f>SUM(AR110:AR110)</f>
        <v>0</v>
      </c>
      <c r="AS109" s="151">
        <f>SUM(AS110:AS110)</f>
        <v>0</v>
      </c>
      <c r="AT109" s="151">
        <f>SUM(AT110:AT110)</f>
        <v>0</v>
      </c>
      <c r="AU109" s="151">
        <f>SUM(AU110:AU110)</f>
        <v>0</v>
      </c>
      <c r="AV109" s="151">
        <f>SUM(AV110:AV110)</f>
        <v>0</v>
      </c>
      <c r="AW109" s="151">
        <f>SUM(AW110:AW110)</f>
        <v>0</v>
      </c>
      <c r="AX109" s="151">
        <f>SUM(AX110:AX110)</f>
        <v>0</v>
      </c>
      <c r="AY109" s="151">
        <f>SUM(AY110:AY110)</f>
        <v>0</v>
      </c>
      <c r="AZ109" s="151">
        <f>SUM(AZ110:AZ110)</f>
        <v>0</v>
      </c>
      <c r="BA109" s="151">
        <f>SUM(BA110:BA110)</f>
        <v>0</v>
      </c>
      <c r="BB109" s="151">
        <f>SUM(BB110:BB110)</f>
        <v>0</v>
      </c>
      <c r="BC109" s="151">
        <f>SUM(BC110:BC110)</f>
        <v>0</v>
      </c>
      <c r="BD109" s="151">
        <f>SUM(BD110:BD110)</f>
        <v>0</v>
      </c>
      <c r="BE109" s="151">
        <f>SUM(BE110:BE110)</f>
        <v>0</v>
      </c>
      <c r="BF109" s="151">
        <f>SUM(BF110:BF110)</f>
        <v>0</v>
      </c>
      <c r="BG109" s="151">
        <f>SUM(BG110:BG110)</f>
        <v>0</v>
      </c>
      <c r="BH109" s="154"/>
      <c r="BI109" s="155"/>
      <c r="BJ109" s="155"/>
      <c r="BK109" s="155"/>
      <c r="BL109" s="155"/>
    </row>
    <row r="110" spans="1:64" ht="31.5" x14ac:dyDescent="0.25">
      <c r="A110" s="34" t="s">
        <v>229</v>
      </c>
      <c r="B110" s="34"/>
      <c r="C110" s="203" t="s">
        <v>230</v>
      </c>
      <c r="D110" s="217" t="s">
        <v>231</v>
      </c>
      <c r="E110" s="37"/>
      <c r="F110" s="37"/>
      <c r="G110" s="37"/>
      <c r="H110" s="37">
        <f>11360+14640+13920+102953.55</f>
        <v>142873.54999999999</v>
      </c>
      <c r="I110" s="39">
        <f t="shared" ref="I110:K110" si="71">U110+X110+AA110+AD110+AG110+AJ110+AM110+AP110+AS110+AV110+AY110+BB110</f>
        <v>0</v>
      </c>
      <c r="J110" s="39">
        <f t="shared" si="71"/>
        <v>0</v>
      </c>
      <c r="K110" s="39">
        <f t="shared" si="71"/>
        <v>39920</v>
      </c>
      <c r="L110" s="39">
        <f t="shared" si="70"/>
        <v>0</v>
      </c>
      <c r="M110" s="39">
        <f t="shared" si="70"/>
        <v>0</v>
      </c>
      <c r="N110" s="39">
        <f t="shared" si="70"/>
        <v>39920</v>
      </c>
      <c r="O110" s="39">
        <f t="shared" ref="O110:P110" si="72">E110-I110</f>
        <v>0</v>
      </c>
      <c r="P110" s="39">
        <f t="shared" si="72"/>
        <v>0</v>
      </c>
      <c r="Q110" s="39">
        <f t="shared" ref="Q110" si="73">H110-K110</f>
        <v>102953.54999999999</v>
      </c>
      <c r="R110" s="41" t="e">
        <f t="shared" ref="R110:S110" si="74">I110/E110</f>
        <v>#DIV/0!</v>
      </c>
      <c r="S110" s="41" t="e">
        <f t="shared" si="74"/>
        <v>#DIV/0!</v>
      </c>
      <c r="T110" s="41">
        <f t="shared" ref="T110" si="75">K110/H110</f>
        <v>0.27940791000153636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>
        <f>11360</f>
        <v>11360</v>
      </c>
      <c r="AG110" s="37"/>
      <c r="AH110" s="37"/>
      <c r="AI110" s="37">
        <f>-11360+10480+14640</f>
        <v>13760</v>
      </c>
      <c r="AJ110" s="37"/>
      <c r="AK110" s="37"/>
      <c r="AL110" s="37">
        <v>14800</v>
      </c>
      <c r="AM110" s="37"/>
      <c r="AN110" s="37"/>
      <c r="AO110" s="37"/>
      <c r="AP110" s="62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42"/>
      <c r="BI110" s="43"/>
      <c r="BJ110" s="43"/>
      <c r="BK110" s="43"/>
      <c r="BL110" s="43"/>
    </row>
    <row r="111" spans="1:64" ht="15.75" hidden="1" customHeight="1" x14ac:dyDescent="0.25">
      <c r="A111" s="158"/>
      <c r="B111" s="158"/>
      <c r="C111" s="149"/>
      <c r="D111" s="159" t="s">
        <v>232</v>
      </c>
      <c r="E111" s="160">
        <f>SUM(E112:E112)</f>
        <v>0</v>
      </c>
      <c r="F111" s="160">
        <f>SUM(F112:F112)</f>
        <v>0</v>
      </c>
      <c r="G111" s="160"/>
      <c r="H111" s="160">
        <f>SUM(H112:H112)</f>
        <v>0</v>
      </c>
      <c r="I111" s="160">
        <f>SUM(I112:I112)</f>
        <v>0</v>
      </c>
      <c r="J111" s="161">
        <f>SUM(J112:J112)</f>
        <v>0</v>
      </c>
      <c r="K111" s="161">
        <f>SUM(K112:K112)</f>
        <v>0</v>
      </c>
      <c r="L111" s="161">
        <f t="shared" si="70"/>
        <v>0</v>
      </c>
      <c r="M111" s="161">
        <f t="shared" si="70"/>
        <v>0</v>
      </c>
      <c r="N111" s="161">
        <f t="shared" si="70"/>
        <v>0</v>
      </c>
      <c r="O111" s="160">
        <f>SUM(O112:O112)</f>
        <v>0</v>
      </c>
      <c r="P111" s="113">
        <f>SUM(P112:P112)</f>
        <v>0</v>
      </c>
      <c r="Q111" s="113">
        <f>SUM(Q112:Q112)</f>
        <v>0</v>
      </c>
      <c r="R111" s="113" t="e">
        <f>SUM(R112:R112)</f>
        <v>#DIV/0!</v>
      </c>
      <c r="S111" s="113" t="e">
        <f>SUM(S112:S112)</f>
        <v>#DIV/0!</v>
      </c>
      <c r="T111" s="113" t="e">
        <f>SUM(T112:T112)</f>
        <v>#DIV/0!</v>
      </c>
      <c r="U111" s="160">
        <f>SUM(U112:U112)</f>
        <v>0</v>
      </c>
      <c r="V111" s="160">
        <f>SUM(V112:V112)</f>
        <v>0</v>
      </c>
      <c r="W111" s="160">
        <f>SUM(W112:W112)</f>
        <v>0</v>
      </c>
      <c r="X111" s="160">
        <f>SUM(X112:X112)</f>
        <v>0</v>
      </c>
      <c r="Y111" s="160">
        <f>SUM(Y112:Y112)</f>
        <v>0</v>
      </c>
      <c r="Z111" s="160">
        <f>SUM(Z112:Z112)</f>
        <v>0</v>
      </c>
      <c r="AA111" s="160">
        <f>SUM(AA112:AA112)</f>
        <v>0</v>
      </c>
      <c r="AB111" s="160">
        <f>SUM(AB112:AB112)</f>
        <v>0</v>
      </c>
      <c r="AC111" s="160">
        <f>SUM(AC112:AC112)</f>
        <v>0</v>
      </c>
      <c r="AD111" s="160">
        <f>SUM(AD112:AD112)</f>
        <v>0</v>
      </c>
      <c r="AE111" s="160">
        <f>SUM(AE112:AE112)</f>
        <v>0</v>
      </c>
      <c r="AF111" s="160">
        <f>SUM(AF112:AF112)</f>
        <v>0</v>
      </c>
      <c r="AG111" s="160">
        <f>SUM(AG112:AG112)</f>
        <v>0</v>
      </c>
      <c r="AH111" s="160">
        <f>SUM(AH112:AH112)</f>
        <v>0</v>
      </c>
      <c r="AI111" s="160">
        <f>SUM(AI112:AI112)</f>
        <v>0</v>
      </c>
      <c r="AJ111" s="160">
        <f>SUM(AJ112:AJ112)</f>
        <v>0</v>
      </c>
      <c r="AK111" s="160">
        <f>SUM(AK112:AK112)</f>
        <v>0</v>
      </c>
      <c r="AL111" s="160">
        <f>SUM(AL112:AL112)</f>
        <v>0</v>
      </c>
      <c r="AM111" s="160">
        <f>SUM(AM112:AM112)</f>
        <v>0</v>
      </c>
      <c r="AN111" s="160">
        <f>SUM(AN112:AN112)</f>
        <v>0</v>
      </c>
      <c r="AO111" s="160">
        <f>SUM(AO112:AO112)</f>
        <v>0</v>
      </c>
      <c r="AP111" s="160">
        <f>SUM(AP112:AP112)</f>
        <v>0</v>
      </c>
      <c r="AQ111" s="160">
        <f>SUM(AQ112:AQ112)</f>
        <v>0</v>
      </c>
      <c r="AR111" s="160">
        <f>SUM(AR112:AR112)</f>
        <v>0</v>
      </c>
      <c r="AS111" s="160">
        <f>SUM(AS112:AS112)</f>
        <v>0</v>
      </c>
      <c r="AT111" s="160">
        <f>SUM(AT112:AT112)</f>
        <v>0</v>
      </c>
      <c r="AU111" s="160">
        <f>SUM(AU112:AU112)</f>
        <v>0</v>
      </c>
      <c r="AV111" s="160">
        <f>SUM(AV112:AV112)</f>
        <v>0</v>
      </c>
      <c r="AW111" s="160">
        <f>SUM(AW112:AW112)</f>
        <v>0</v>
      </c>
      <c r="AX111" s="160">
        <f>SUM(AX112:AX112)</f>
        <v>0</v>
      </c>
      <c r="AY111" s="160">
        <f>SUM(AY112:AY112)</f>
        <v>0</v>
      </c>
      <c r="AZ111" s="160">
        <f>SUM(AZ112:AZ112)</f>
        <v>0</v>
      </c>
      <c r="BA111" s="160">
        <f>SUM(BA112:BA112)</f>
        <v>0</v>
      </c>
      <c r="BB111" s="160">
        <f>SUM(BB112:BB112)</f>
        <v>0</v>
      </c>
      <c r="BC111" s="160">
        <f>SUM(BC112:BC112)</f>
        <v>0</v>
      </c>
      <c r="BD111" s="160">
        <f>SUM(BD112:BD112)</f>
        <v>0</v>
      </c>
      <c r="BE111" s="160">
        <f>SUM(BE112:BE112)</f>
        <v>0</v>
      </c>
      <c r="BF111" s="160">
        <f>SUM(BF112:BF112)</f>
        <v>0</v>
      </c>
      <c r="BG111" s="160">
        <f>SUM(BG112:BG112)</f>
        <v>0</v>
      </c>
      <c r="BH111" s="154"/>
      <c r="BI111" s="155"/>
      <c r="BJ111" s="155"/>
      <c r="BK111" s="155"/>
      <c r="BL111" s="155"/>
    </row>
    <row r="112" spans="1:64" ht="15.75" hidden="1" customHeight="1" x14ac:dyDescent="0.25">
      <c r="A112" s="75"/>
      <c r="B112" s="75"/>
      <c r="C112" s="51" t="s">
        <v>233</v>
      </c>
      <c r="D112" s="36" t="s">
        <v>234</v>
      </c>
      <c r="E112" s="37"/>
      <c r="F112" s="37"/>
      <c r="G112" s="37"/>
      <c r="H112" s="37"/>
      <c r="I112" s="39">
        <f t="shared" ref="I112:K112" si="76">U112+X112+AA112+AD112+AG112+AJ112+AM112+AP112+AS112+AV112+AY112+BB112</f>
        <v>0</v>
      </c>
      <c r="J112" s="39">
        <f t="shared" si="76"/>
        <v>0</v>
      </c>
      <c r="K112" s="39">
        <f t="shared" si="76"/>
        <v>0</v>
      </c>
      <c r="L112" s="39">
        <f t="shared" si="70"/>
        <v>0</v>
      </c>
      <c r="M112" s="39">
        <f t="shared" si="70"/>
        <v>0</v>
      </c>
      <c r="N112" s="39">
        <f t="shared" si="70"/>
        <v>0</v>
      </c>
      <c r="O112" s="39">
        <f t="shared" ref="O112:P112" si="77">E112-I112</f>
        <v>0</v>
      </c>
      <c r="P112" s="39">
        <f t="shared" si="77"/>
        <v>0</v>
      </c>
      <c r="Q112" s="39">
        <f t="shared" ref="Q112" si="78">H112-K112</f>
        <v>0</v>
      </c>
      <c r="R112" s="41" t="e">
        <f t="shared" ref="R112:S112" si="79">I112/E112</f>
        <v>#DIV/0!</v>
      </c>
      <c r="S112" s="41" t="e">
        <f t="shared" si="79"/>
        <v>#DIV/0!</v>
      </c>
      <c r="T112" s="41" t="e">
        <f t="shared" ref="T112" si="80">K112/H112</f>
        <v>#DIV/0!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42"/>
      <c r="BI112" s="43"/>
      <c r="BJ112" s="43"/>
      <c r="BK112" s="43"/>
      <c r="BL112" s="43"/>
    </row>
    <row r="113" spans="1:64" ht="15.75" hidden="1" customHeight="1" x14ac:dyDescent="0.25">
      <c r="A113" s="158"/>
      <c r="B113" s="158"/>
      <c r="C113" s="149"/>
      <c r="D113" s="159" t="s">
        <v>235</v>
      </c>
      <c r="E113" s="160">
        <f t="shared" ref="E113:K113" si="81">SUM(E114:E116)</f>
        <v>0</v>
      </c>
      <c r="F113" s="160">
        <f t="shared" si="81"/>
        <v>0</v>
      </c>
      <c r="G113" s="160"/>
      <c r="H113" s="160">
        <f t="shared" si="81"/>
        <v>0</v>
      </c>
      <c r="I113" s="160">
        <f t="shared" si="81"/>
        <v>0</v>
      </c>
      <c r="J113" s="161">
        <f t="shared" si="81"/>
        <v>0</v>
      </c>
      <c r="K113" s="161">
        <f t="shared" si="81"/>
        <v>0</v>
      </c>
      <c r="L113" s="161">
        <f t="shared" si="70"/>
        <v>0</v>
      </c>
      <c r="M113" s="161">
        <f t="shared" si="70"/>
        <v>0</v>
      </c>
      <c r="N113" s="161">
        <f t="shared" si="70"/>
        <v>0</v>
      </c>
      <c r="O113" s="160">
        <f t="shared" ref="O113:BG113" si="82">SUM(O114:O116)</f>
        <v>0</v>
      </c>
      <c r="P113" s="113">
        <f t="shared" si="82"/>
        <v>0</v>
      </c>
      <c r="Q113" s="113">
        <f t="shared" si="82"/>
        <v>0</v>
      </c>
      <c r="R113" s="113" t="e">
        <f t="shared" si="82"/>
        <v>#DIV/0!</v>
      </c>
      <c r="S113" s="113" t="e">
        <f t="shared" si="82"/>
        <v>#DIV/0!</v>
      </c>
      <c r="T113" s="113" t="e">
        <f t="shared" si="82"/>
        <v>#DIV/0!</v>
      </c>
      <c r="U113" s="160">
        <f t="shared" si="82"/>
        <v>0</v>
      </c>
      <c r="V113" s="160">
        <f t="shared" si="82"/>
        <v>0</v>
      </c>
      <c r="W113" s="160">
        <f t="shared" si="82"/>
        <v>0</v>
      </c>
      <c r="X113" s="160">
        <f t="shared" si="82"/>
        <v>0</v>
      </c>
      <c r="Y113" s="160">
        <f t="shared" si="82"/>
        <v>0</v>
      </c>
      <c r="Z113" s="160">
        <f t="shared" si="82"/>
        <v>0</v>
      </c>
      <c r="AA113" s="160">
        <f t="shared" si="82"/>
        <v>0</v>
      </c>
      <c r="AB113" s="160">
        <f t="shared" si="82"/>
        <v>0</v>
      </c>
      <c r="AC113" s="160">
        <f t="shared" si="82"/>
        <v>0</v>
      </c>
      <c r="AD113" s="160">
        <f t="shared" si="82"/>
        <v>0</v>
      </c>
      <c r="AE113" s="160">
        <f t="shared" si="82"/>
        <v>0</v>
      </c>
      <c r="AF113" s="160">
        <f t="shared" si="82"/>
        <v>0</v>
      </c>
      <c r="AG113" s="160">
        <f t="shared" si="82"/>
        <v>0</v>
      </c>
      <c r="AH113" s="160">
        <f t="shared" si="82"/>
        <v>0</v>
      </c>
      <c r="AI113" s="160">
        <f t="shared" si="82"/>
        <v>0</v>
      </c>
      <c r="AJ113" s="160">
        <f t="shared" si="82"/>
        <v>0</v>
      </c>
      <c r="AK113" s="160">
        <f t="shared" si="82"/>
        <v>0</v>
      </c>
      <c r="AL113" s="160">
        <f t="shared" si="82"/>
        <v>0</v>
      </c>
      <c r="AM113" s="160">
        <f t="shared" si="82"/>
        <v>0</v>
      </c>
      <c r="AN113" s="160">
        <f t="shared" si="82"/>
        <v>0</v>
      </c>
      <c r="AO113" s="160">
        <f t="shared" si="82"/>
        <v>0</v>
      </c>
      <c r="AP113" s="160">
        <f t="shared" si="82"/>
        <v>0</v>
      </c>
      <c r="AQ113" s="160">
        <f t="shared" si="82"/>
        <v>0</v>
      </c>
      <c r="AR113" s="160">
        <f t="shared" si="82"/>
        <v>0</v>
      </c>
      <c r="AS113" s="160">
        <f t="shared" si="82"/>
        <v>0</v>
      </c>
      <c r="AT113" s="160">
        <f t="shared" si="82"/>
        <v>0</v>
      </c>
      <c r="AU113" s="160">
        <f t="shared" si="82"/>
        <v>0</v>
      </c>
      <c r="AV113" s="160">
        <f t="shared" si="82"/>
        <v>0</v>
      </c>
      <c r="AW113" s="160">
        <f t="shared" si="82"/>
        <v>0</v>
      </c>
      <c r="AX113" s="160">
        <f t="shared" si="82"/>
        <v>0</v>
      </c>
      <c r="AY113" s="160">
        <f t="shared" si="82"/>
        <v>0</v>
      </c>
      <c r="AZ113" s="160">
        <f t="shared" si="82"/>
        <v>0</v>
      </c>
      <c r="BA113" s="160">
        <f t="shared" si="82"/>
        <v>0</v>
      </c>
      <c r="BB113" s="160">
        <f t="shared" si="82"/>
        <v>0</v>
      </c>
      <c r="BC113" s="160">
        <f t="shared" si="82"/>
        <v>0</v>
      </c>
      <c r="BD113" s="160">
        <f t="shared" si="82"/>
        <v>0</v>
      </c>
      <c r="BE113" s="160">
        <f t="shared" si="82"/>
        <v>0</v>
      </c>
      <c r="BF113" s="160">
        <f t="shared" si="82"/>
        <v>0</v>
      </c>
      <c r="BG113" s="160">
        <f t="shared" si="82"/>
        <v>0</v>
      </c>
      <c r="BH113" s="154"/>
      <c r="BI113" s="155"/>
      <c r="BJ113" s="155"/>
      <c r="BK113" s="155"/>
      <c r="BL113" s="155"/>
    </row>
    <row r="114" spans="1:64" ht="15.75" hidden="1" customHeight="1" x14ac:dyDescent="0.25">
      <c r="A114" s="75"/>
      <c r="B114" s="75"/>
      <c r="C114" s="35" t="s">
        <v>233</v>
      </c>
      <c r="D114" s="129" t="s">
        <v>236</v>
      </c>
      <c r="E114" s="37"/>
      <c r="F114" s="37"/>
      <c r="G114" s="37"/>
      <c r="H114" s="37"/>
      <c r="I114" s="39">
        <f t="shared" ref="I114:K116" si="83">U114+X114+AA114+AD114+AG114+AJ114+AM114+AP114+AS114+AV114+AY114+BB114</f>
        <v>0</v>
      </c>
      <c r="J114" s="39">
        <f t="shared" si="83"/>
        <v>0</v>
      </c>
      <c r="K114" s="39">
        <f t="shared" si="83"/>
        <v>0</v>
      </c>
      <c r="L114" s="39">
        <f t="shared" si="70"/>
        <v>0</v>
      </c>
      <c r="M114" s="39">
        <f t="shared" si="70"/>
        <v>0</v>
      </c>
      <c r="N114" s="39">
        <f t="shared" si="70"/>
        <v>0</v>
      </c>
      <c r="O114" s="39">
        <f t="shared" ref="O114:P116" si="84">E114-I114</f>
        <v>0</v>
      </c>
      <c r="P114" s="39">
        <f t="shared" si="84"/>
        <v>0</v>
      </c>
      <c r="Q114" s="39">
        <f t="shared" ref="Q114:Q116" si="85">H114-K114</f>
        <v>0</v>
      </c>
      <c r="R114" s="41" t="e">
        <f t="shared" ref="R114:S135" si="86">I114/E114</f>
        <v>#DIV/0!</v>
      </c>
      <c r="S114" s="41" t="e">
        <f t="shared" si="86"/>
        <v>#DIV/0!</v>
      </c>
      <c r="T114" s="41" t="e">
        <f t="shared" ref="T114:T139" si="87">K114/H114</f>
        <v>#DIV/0!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42"/>
      <c r="BI114" s="43"/>
      <c r="BJ114" s="43"/>
      <c r="BK114" s="43"/>
      <c r="BL114" s="43"/>
    </row>
    <row r="115" spans="1:64" ht="15.75" hidden="1" customHeight="1" x14ac:dyDescent="0.25">
      <c r="A115" s="75"/>
      <c r="B115" s="75"/>
      <c r="C115" s="35" t="s">
        <v>237</v>
      </c>
      <c r="D115" s="77" t="s">
        <v>238</v>
      </c>
      <c r="E115" s="130"/>
      <c r="F115" s="37"/>
      <c r="G115" s="37"/>
      <c r="H115" s="130"/>
      <c r="I115" s="39">
        <f t="shared" si="83"/>
        <v>0</v>
      </c>
      <c r="J115" s="39">
        <f t="shared" si="83"/>
        <v>0</v>
      </c>
      <c r="K115" s="39">
        <f t="shared" si="83"/>
        <v>0</v>
      </c>
      <c r="L115" s="39">
        <f t="shared" si="70"/>
        <v>0</v>
      </c>
      <c r="M115" s="39">
        <f t="shared" si="70"/>
        <v>0</v>
      </c>
      <c r="N115" s="39">
        <f t="shared" si="70"/>
        <v>0</v>
      </c>
      <c r="O115" s="39">
        <f t="shared" si="84"/>
        <v>0</v>
      </c>
      <c r="P115" s="39">
        <f t="shared" si="84"/>
        <v>0</v>
      </c>
      <c r="Q115" s="39">
        <f t="shared" si="85"/>
        <v>0</v>
      </c>
      <c r="R115" s="41" t="e">
        <f t="shared" si="86"/>
        <v>#DIV/0!</v>
      </c>
      <c r="S115" s="41" t="e">
        <f t="shared" si="86"/>
        <v>#DIV/0!</v>
      </c>
      <c r="T115" s="41" t="e">
        <f t="shared" si="87"/>
        <v>#DIV/0!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42"/>
      <c r="BI115" s="43"/>
      <c r="BJ115" s="43"/>
      <c r="BK115" s="43"/>
      <c r="BL115" s="43"/>
    </row>
    <row r="116" spans="1:64" ht="15.75" hidden="1" customHeight="1" x14ac:dyDescent="0.25">
      <c r="A116" s="75"/>
      <c r="B116" s="75"/>
      <c r="C116" s="35" t="s">
        <v>237</v>
      </c>
      <c r="D116" s="77" t="s">
        <v>239</v>
      </c>
      <c r="E116" s="37"/>
      <c r="F116" s="37"/>
      <c r="G116" s="37"/>
      <c r="H116" s="162"/>
      <c r="I116" s="39">
        <f t="shared" si="83"/>
        <v>0</v>
      </c>
      <c r="J116" s="39">
        <f t="shared" si="83"/>
        <v>0</v>
      </c>
      <c r="K116" s="39">
        <f t="shared" si="83"/>
        <v>0</v>
      </c>
      <c r="L116" s="39">
        <f t="shared" si="70"/>
        <v>0</v>
      </c>
      <c r="M116" s="39">
        <f t="shared" si="70"/>
        <v>0</v>
      </c>
      <c r="N116" s="39">
        <f t="shared" si="70"/>
        <v>0</v>
      </c>
      <c r="O116" s="39">
        <f t="shared" si="84"/>
        <v>0</v>
      </c>
      <c r="P116" s="39">
        <f t="shared" si="84"/>
        <v>0</v>
      </c>
      <c r="Q116" s="39">
        <f t="shared" si="85"/>
        <v>0</v>
      </c>
      <c r="R116" s="41" t="e">
        <f t="shared" si="86"/>
        <v>#DIV/0!</v>
      </c>
      <c r="S116" s="41" t="e">
        <f t="shared" si="86"/>
        <v>#DIV/0!</v>
      </c>
      <c r="T116" s="41" t="e">
        <f t="shared" si="87"/>
        <v>#DIV/0!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42"/>
      <c r="BI116" s="43"/>
      <c r="BJ116" s="43"/>
      <c r="BK116" s="43"/>
      <c r="BL116" s="43"/>
    </row>
    <row r="117" spans="1:64" ht="15.75" hidden="1" x14ac:dyDescent="0.25">
      <c r="A117" s="110"/>
      <c r="B117" s="110"/>
      <c r="C117" s="145"/>
      <c r="D117" s="112" t="s">
        <v>240</v>
      </c>
      <c r="E117" s="113">
        <f t="shared" ref="E117:K117" si="88">SUM(E118:E120)</f>
        <v>0</v>
      </c>
      <c r="F117" s="113">
        <f t="shared" si="88"/>
        <v>0</v>
      </c>
      <c r="G117" s="113"/>
      <c r="H117" s="113">
        <f t="shared" si="88"/>
        <v>0</v>
      </c>
      <c r="I117" s="113">
        <f t="shared" si="88"/>
        <v>0</v>
      </c>
      <c r="J117" s="113">
        <f t="shared" si="88"/>
        <v>0</v>
      </c>
      <c r="K117" s="113">
        <f t="shared" si="88"/>
        <v>0</v>
      </c>
      <c r="L117" s="163">
        <f t="shared" si="70"/>
        <v>0</v>
      </c>
      <c r="M117" s="163">
        <f t="shared" si="70"/>
        <v>0</v>
      </c>
      <c r="N117" s="163">
        <f t="shared" si="70"/>
        <v>0</v>
      </c>
      <c r="O117" s="113">
        <f>SUM(O118:O120)</f>
        <v>0</v>
      </c>
      <c r="P117" s="113">
        <f>SUM(P118:P120)</f>
        <v>0</v>
      </c>
      <c r="Q117" s="113">
        <f>SUM(Q118:Q120)</f>
        <v>0</v>
      </c>
      <c r="R117" s="114" t="e">
        <f t="shared" si="86"/>
        <v>#DIV/0!</v>
      </c>
      <c r="S117" s="114" t="e">
        <f t="shared" si="86"/>
        <v>#DIV/0!</v>
      </c>
      <c r="T117" s="114" t="e">
        <f t="shared" si="87"/>
        <v>#DIV/0!</v>
      </c>
      <c r="U117" s="113">
        <f t="shared" ref="U117:BG117" si="89">SUM(U118:U120)</f>
        <v>0</v>
      </c>
      <c r="V117" s="113">
        <f t="shared" si="89"/>
        <v>0</v>
      </c>
      <c r="W117" s="113">
        <f t="shared" si="89"/>
        <v>0</v>
      </c>
      <c r="X117" s="113">
        <f t="shared" si="89"/>
        <v>0</v>
      </c>
      <c r="Y117" s="113">
        <f t="shared" si="89"/>
        <v>0</v>
      </c>
      <c r="Z117" s="113">
        <f t="shared" si="89"/>
        <v>0</v>
      </c>
      <c r="AA117" s="113">
        <f t="shared" si="89"/>
        <v>0</v>
      </c>
      <c r="AB117" s="113">
        <f t="shared" si="89"/>
        <v>0</v>
      </c>
      <c r="AC117" s="113">
        <f t="shared" si="89"/>
        <v>0</v>
      </c>
      <c r="AD117" s="113">
        <f t="shared" si="89"/>
        <v>0</v>
      </c>
      <c r="AE117" s="113">
        <f t="shared" si="89"/>
        <v>0</v>
      </c>
      <c r="AF117" s="113">
        <f t="shared" si="89"/>
        <v>0</v>
      </c>
      <c r="AG117" s="113">
        <f t="shared" si="89"/>
        <v>0</v>
      </c>
      <c r="AH117" s="113">
        <f t="shared" si="89"/>
        <v>0</v>
      </c>
      <c r="AI117" s="113">
        <f t="shared" si="89"/>
        <v>0</v>
      </c>
      <c r="AJ117" s="113">
        <f t="shared" si="89"/>
        <v>0</v>
      </c>
      <c r="AK117" s="113">
        <f t="shared" si="89"/>
        <v>0</v>
      </c>
      <c r="AL117" s="113">
        <f t="shared" si="89"/>
        <v>0</v>
      </c>
      <c r="AM117" s="113">
        <f t="shared" si="89"/>
        <v>0</v>
      </c>
      <c r="AN117" s="113">
        <f t="shared" si="89"/>
        <v>0</v>
      </c>
      <c r="AO117" s="113">
        <f t="shared" si="89"/>
        <v>0</v>
      </c>
      <c r="AP117" s="113">
        <f t="shared" si="89"/>
        <v>0</v>
      </c>
      <c r="AQ117" s="113">
        <f t="shared" si="89"/>
        <v>0</v>
      </c>
      <c r="AR117" s="113">
        <f t="shared" si="89"/>
        <v>0</v>
      </c>
      <c r="AS117" s="113">
        <f t="shared" si="89"/>
        <v>0</v>
      </c>
      <c r="AT117" s="113">
        <f t="shared" si="89"/>
        <v>0</v>
      </c>
      <c r="AU117" s="113">
        <f t="shared" si="89"/>
        <v>0</v>
      </c>
      <c r="AV117" s="113">
        <f t="shared" si="89"/>
        <v>0</v>
      </c>
      <c r="AW117" s="113">
        <f t="shared" si="89"/>
        <v>0</v>
      </c>
      <c r="AX117" s="113">
        <f t="shared" si="89"/>
        <v>0</v>
      </c>
      <c r="AY117" s="113">
        <f t="shared" si="89"/>
        <v>0</v>
      </c>
      <c r="AZ117" s="113">
        <f t="shared" si="89"/>
        <v>0</v>
      </c>
      <c r="BA117" s="113">
        <f t="shared" si="89"/>
        <v>0</v>
      </c>
      <c r="BB117" s="113">
        <f t="shared" si="89"/>
        <v>0</v>
      </c>
      <c r="BC117" s="113">
        <f t="shared" si="89"/>
        <v>0</v>
      </c>
      <c r="BD117" s="113">
        <f t="shared" si="89"/>
        <v>0</v>
      </c>
      <c r="BE117" s="113">
        <f t="shared" si="89"/>
        <v>0</v>
      </c>
      <c r="BF117" s="113">
        <f t="shared" si="89"/>
        <v>0</v>
      </c>
      <c r="BG117" s="113">
        <f t="shared" si="89"/>
        <v>0</v>
      </c>
      <c r="BH117" s="85"/>
      <c r="BI117" s="86"/>
      <c r="BJ117" s="86"/>
      <c r="BK117" s="86"/>
      <c r="BL117" s="86"/>
    </row>
    <row r="118" spans="1:64" ht="15.75" hidden="1" customHeight="1" x14ac:dyDescent="0.25">
      <c r="A118" s="75"/>
      <c r="B118" s="75"/>
      <c r="C118" s="35" t="s">
        <v>156</v>
      </c>
      <c r="D118" s="77" t="s">
        <v>218</v>
      </c>
      <c r="E118" s="88"/>
      <c r="F118" s="37"/>
      <c r="G118" s="37"/>
      <c r="H118" s="130"/>
      <c r="I118" s="39">
        <f t="shared" ref="I118:K120" si="90">U118+X118+AA118+AD118+AG118+AJ118+AM118+AP118+AS118+AV118+AY118+BB118</f>
        <v>0</v>
      </c>
      <c r="J118" s="39">
        <f t="shared" si="90"/>
        <v>0</v>
      </c>
      <c r="K118" s="39">
        <f t="shared" si="90"/>
        <v>0</v>
      </c>
      <c r="L118" s="39">
        <f t="shared" si="70"/>
        <v>0</v>
      </c>
      <c r="M118" s="39">
        <f t="shared" si="70"/>
        <v>0</v>
      </c>
      <c r="N118" s="39">
        <f t="shared" si="70"/>
        <v>0</v>
      </c>
      <c r="O118" s="39">
        <f t="shared" ref="O118:P120" si="91">E118-I118</f>
        <v>0</v>
      </c>
      <c r="P118" s="39">
        <f t="shared" si="91"/>
        <v>0</v>
      </c>
      <c r="Q118" s="39">
        <f t="shared" ref="Q118:Q120" si="92">H118-K118</f>
        <v>0</v>
      </c>
      <c r="R118" s="41" t="e">
        <f t="shared" si="86"/>
        <v>#DIV/0!</v>
      </c>
      <c r="S118" s="41" t="e">
        <f t="shared" si="86"/>
        <v>#DIV/0!</v>
      </c>
      <c r="T118" s="41" t="e">
        <f t="shared" si="87"/>
        <v>#DIV/0!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42"/>
      <c r="BI118" s="43"/>
      <c r="BJ118" s="43"/>
      <c r="BK118" s="43"/>
      <c r="BL118" s="43"/>
    </row>
    <row r="119" spans="1:64" ht="15.75" hidden="1" customHeight="1" x14ac:dyDescent="0.25">
      <c r="A119" s="75"/>
      <c r="B119" s="75"/>
      <c r="C119" s="35" t="s">
        <v>219</v>
      </c>
      <c r="D119" s="77" t="s">
        <v>241</v>
      </c>
      <c r="E119" s="62"/>
      <c r="F119" s="37"/>
      <c r="G119" s="37"/>
      <c r="H119" s="130"/>
      <c r="I119" s="39">
        <f t="shared" si="90"/>
        <v>0</v>
      </c>
      <c r="J119" s="39">
        <f t="shared" si="90"/>
        <v>0</v>
      </c>
      <c r="K119" s="39">
        <f t="shared" si="90"/>
        <v>0</v>
      </c>
      <c r="L119" s="39">
        <f t="shared" si="70"/>
        <v>0</v>
      </c>
      <c r="M119" s="39">
        <f t="shared" si="70"/>
        <v>0</v>
      </c>
      <c r="N119" s="39">
        <f t="shared" si="70"/>
        <v>0</v>
      </c>
      <c r="O119" s="39">
        <f t="shared" si="91"/>
        <v>0</v>
      </c>
      <c r="P119" s="39">
        <f t="shared" si="91"/>
        <v>0</v>
      </c>
      <c r="Q119" s="39">
        <f t="shared" si="92"/>
        <v>0</v>
      </c>
      <c r="R119" s="41" t="e">
        <f t="shared" si="86"/>
        <v>#DIV/0!</v>
      </c>
      <c r="S119" s="41" t="e">
        <f t="shared" si="86"/>
        <v>#DIV/0!</v>
      </c>
      <c r="T119" s="41" t="e">
        <f t="shared" si="87"/>
        <v>#DIV/0!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42"/>
      <c r="BI119" s="43"/>
      <c r="BJ119" s="43"/>
      <c r="BK119" s="43"/>
      <c r="BL119" s="43"/>
    </row>
    <row r="120" spans="1:64" ht="15.75" hidden="1" customHeight="1" x14ac:dyDescent="0.25">
      <c r="A120" s="75"/>
      <c r="B120" s="75"/>
      <c r="C120" s="35" t="s">
        <v>156</v>
      </c>
      <c r="D120" s="77" t="s">
        <v>242</v>
      </c>
      <c r="E120" s="37"/>
      <c r="F120" s="37"/>
      <c r="G120" s="37"/>
      <c r="H120" s="37"/>
      <c r="I120" s="39">
        <f t="shared" si="90"/>
        <v>0</v>
      </c>
      <c r="J120" s="39">
        <f t="shared" si="90"/>
        <v>0</v>
      </c>
      <c r="K120" s="39">
        <f t="shared" si="90"/>
        <v>0</v>
      </c>
      <c r="L120" s="39">
        <f t="shared" si="70"/>
        <v>0</v>
      </c>
      <c r="M120" s="39">
        <f t="shared" si="70"/>
        <v>0</v>
      </c>
      <c r="N120" s="39">
        <f t="shared" si="70"/>
        <v>0</v>
      </c>
      <c r="O120" s="39">
        <f t="shared" si="91"/>
        <v>0</v>
      </c>
      <c r="P120" s="39">
        <f t="shared" si="91"/>
        <v>0</v>
      </c>
      <c r="Q120" s="39">
        <f t="shared" si="92"/>
        <v>0</v>
      </c>
      <c r="R120" s="41" t="e">
        <f t="shared" si="86"/>
        <v>#DIV/0!</v>
      </c>
      <c r="S120" s="41" t="e">
        <f t="shared" si="86"/>
        <v>#DIV/0!</v>
      </c>
      <c r="T120" s="41" t="e">
        <f t="shared" si="87"/>
        <v>#DIV/0!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42"/>
      <c r="BI120" s="43"/>
      <c r="BJ120" s="43"/>
      <c r="BK120" s="43"/>
      <c r="BL120" s="43"/>
    </row>
    <row r="121" spans="1:64" ht="15.75" customHeight="1" x14ac:dyDescent="0.25">
      <c r="A121" s="164"/>
      <c r="B121" s="164"/>
      <c r="C121" s="165"/>
      <c r="D121" s="166" t="s">
        <v>243</v>
      </c>
      <c r="E121" s="167">
        <f t="shared" ref="E121:K121" si="93">SUM(E122:E124)</f>
        <v>9900</v>
      </c>
      <c r="F121" s="167">
        <f t="shared" si="93"/>
        <v>60804.639999999999</v>
      </c>
      <c r="G121" s="167"/>
      <c r="H121" s="167">
        <f t="shared" si="93"/>
        <v>0</v>
      </c>
      <c r="I121" s="167">
        <f t="shared" si="93"/>
        <v>0</v>
      </c>
      <c r="J121" s="167">
        <f t="shared" si="93"/>
        <v>60511.01999999999</v>
      </c>
      <c r="K121" s="167">
        <f t="shared" si="93"/>
        <v>0</v>
      </c>
      <c r="L121" s="157">
        <f t="shared" si="70"/>
        <v>0</v>
      </c>
      <c r="M121" s="157">
        <f t="shared" si="70"/>
        <v>60511.01999999999</v>
      </c>
      <c r="N121" s="157">
        <f t="shared" si="70"/>
        <v>0</v>
      </c>
      <c r="O121" s="167">
        <f>SUM(O122:O124)</f>
        <v>0</v>
      </c>
      <c r="P121" s="167">
        <f>SUM(P122:P124)</f>
        <v>293.6200000000099</v>
      </c>
      <c r="Q121" s="167">
        <f>SUM(Q122:Q124)</f>
        <v>0</v>
      </c>
      <c r="R121" s="168">
        <f t="shared" si="86"/>
        <v>0</v>
      </c>
      <c r="S121" s="168">
        <f t="shared" si="86"/>
        <v>0.99517109220612099</v>
      </c>
      <c r="T121" s="168" t="e">
        <f t="shared" si="87"/>
        <v>#DIV/0!</v>
      </c>
      <c r="U121" s="167">
        <f t="shared" ref="U121:BG121" si="94">SUM(U122:U124)</f>
        <v>0</v>
      </c>
      <c r="V121" s="167">
        <f t="shared" si="94"/>
        <v>0</v>
      </c>
      <c r="W121" s="167">
        <f t="shared" si="94"/>
        <v>0</v>
      </c>
      <c r="X121" s="167">
        <f t="shared" si="94"/>
        <v>0</v>
      </c>
      <c r="Y121" s="167">
        <f t="shared" si="94"/>
        <v>24501.86</v>
      </c>
      <c r="Z121" s="167">
        <f t="shared" si="94"/>
        <v>0</v>
      </c>
      <c r="AA121" s="167">
        <f t="shared" si="94"/>
        <v>0</v>
      </c>
      <c r="AB121" s="167">
        <f t="shared" si="94"/>
        <v>21833.119999999999</v>
      </c>
      <c r="AC121" s="167">
        <f t="shared" si="94"/>
        <v>0</v>
      </c>
      <c r="AD121" s="167">
        <f t="shared" si="94"/>
        <v>0</v>
      </c>
      <c r="AE121" s="167">
        <f t="shared" si="94"/>
        <v>0</v>
      </c>
      <c r="AF121" s="167">
        <f t="shared" si="94"/>
        <v>0</v>
      </c>
      <c r="AG121" s="167">
        <f t="shared" si="94"/>
        <v>0</v>
      </c>
      <c r="AH121" s="167">
        <f t="shared" si="94"/>
        <v>8320.4499999999989</v>
      </c>
      <c r="AI121" s="167">
        <f t="shared" si="94"/>
        <v>0</v>
      </c>
      <c r="AJ121" s="167">
        <f t="shared" si="94"/>
        <v>0</v>
      </c>
      <c r="AK121" s="167">
        <f t="shared" si="94"/>
        <v>0</v>
      </c>
      <c r="AL121" s="167">
        <f t="shared" si="94"/>
        <v>0</v>
      </c>
      <c r="AM121" s="167">
        <f t="shared" si="94"/>
        <v>0</v>
      </c>
      <c r="AN121" s="167">
        <f t="shared" si="94"/>
        <v>5855.59</v>
      </c>
      <c r="AO121" s="167">
        <f t="shared" si="94"/>
        <v>0</v>
      </c>
      <c r="AP121" s="167">
        <f t="shared" si="94"/>
        <v>0</v>
      </c>
      <c r="AQ121" s="167">
        <f t="shared" si="94"/>
        <v>0</v>
      </c>
      <c r="AR121" s="167">
        <f t="shared" si="94"/>
        <v>0</v>
      </c>
      <c r="AS121" s="167">
        <f t="shared" si="94"/>
        <v>0</v>
      </c>
      <c r="AT121" s="167">
        <f t="shared" si="94"/>
        <v>0</v>
      </c>
      <c r="AU121" s="167">
        <f t="shared" si="94"/>
        <v>0</v>
      </c>
      <c r="AV121" s="167">
        <f t="shared" si="94"/>
        <v>0</v>
      </c>
      <c r="AW121" s="167">
        <f t="shared" si="94"/>
        <v>0</v>
      </c>
      <c r="AX121" s="167">
        <f t="shared" si="94"/>
        <v>0</v>
      </c>
      <c r="AY121" s="167">
        <f t="shared" si="94"/>
        <v>0</v>
      </c>
      <c r="AZ121" s="167">
        <f t="shared" si="94"/>
        <v>0</v>
      </c>
      <c r="BA121" s="167">
        <f t="shared" si="94"/>
        <v>0</v>
      </c>
      <c r="BB121" s="167">
        <f t="shared" si="94"/>
        <v>0</v>
      </c>
      <c r="BC121" s="167">
        <f t="shared" si="94"/>
        <v>0</v>
      </c>
      <c r="BD121" s="167">
        <f t="shared" si="94"/>
        <v>0</v>
      </c>
      <c r="BE121" s="167">
        <f t="shared" si="94"/>
        <v>0</v>
      </c>
      <c r="BF121" s="167">
        <f t="shared" si="94"/>
        <v>0</v>
      </c>
      <c r="BG121" s="167">
        <f t="shared" si="94"/>
        <v>0</v>
      </c>
      <c r="BH121" s="154"/>
      <c r="BI121" s="155"/>
      <c r="BJ121" s="155"/>
      <c r="BK121" s="155"/>
      <c r="BL121" s="155"/>
    </row>
    <row r="122" spans="1:64" ht="15.75" customHeight="1" x14ac:dyDescent="0.25">
      <c r="A122" s="75"/>
      <c r="B122" s="73" t="s">
        <v>244</v>
      </c>
      <c r="C122" s="203" t="s">
        <v>245</v>
      </c>
      <c r="D122" s="212" t="s">
        <v>246</v>
      </c>
      <c r="E122" s="88"/>
      <c r="F122" s="37">
        <v>60804.639999999999</v>
      </c>
      <c r="G122" s="132"/>
      <c r="H122" s="130"/>
      <c r="I122" s="39">
        <f t="shared" ref="I122:K124" si="95">U122+X122+AA122+AD122+AG122+AJ122+AM122+AP122+AS122+AV122+AY122+BB122</f>
        <v>0</v>
      </c>
      <c r="J122" s="39">
        <f t="shared" si="95"/>
        <v>60511.01999999999</v>
      </c>
      <c r="K122" s="39">
        <f t="shared" si="95"/>
        <v>0</v>
      </c>
      <c r="L122" s="39">
        <f t="shared" si="70"/>
        <v>0</v>
      </c>
      <c r="M122" s="39">
        <f t="shared" si="70"/>
        <v>60511.01999999999</v>
      </c>
      <c r="N122" s="39">
        <f t="shared" si="70"/>
        <v>0</v>
      </c>
      <c r="O122" s="39">
        <f>E122-I122</f>
        <v>0</v>
      </c>
      <c r="P122" s="39">
        <f>F122-J122</f>
        <v>293.6200000000099</v>
      </c>
      <c r="Q122" s="39">
        <f t="shared" ref="Q122:Q124" si="96">H122-K122</f>
        <v>0</v>
      </c>
      <c r="R122" s="41" t="e">
        <f t="shared" si="86"/>
        <v>#DIV/0!</v>
      </c>
      <c r="S122" s="41">
        <f t="shared" si="86"/>
        <v>0.99517109220612099</v>
      </c>
      <c r="T122" s="41" t="e">
        <f t="shared" si="87"/>
        <v>#DIV/0!</v>
      </c>
      <c r="U122" s="37"/>
      <c r="V122" s="37"/>
      <c r="W122" s="37"/>
      <c r="X122" s="37"/>
      <c r="Y122" s="37">
        <f>24501.86</f>
        <v>24501.86</v>
      </c>
      <c r="Z122" s="37"/>
      <c r="AA122" s="37"/>
      <c r="AB122" s="37">
        <f>21833.12</f>
        <v>21833.119999999999</v>
      </c>
      <c r="AC122" s="37"/>
      <c r="AD122" s="37"/>
      <c r="AE122" s="37"/>
      <c r="AF122" s="37"/>
      <c r="AG122" s="37"/>
      <c r="AH122" s="37">
        <f>706.56+150.48+142.25+473.29+62.09+663.05+913.98+195.36+846.89+892.24+2169.36+1104.9</f>
        <v>8320.4499999999989</v>
      </c>
      <c r="AI122" s="37"/>
      <c r="AJ122" s="37"/>
      <c r="AK122" s="37"/>
      <c r="AL122" s="37"/>
      <c r="AM122" s="37"/>
      <c r="AN122" s="37">
        <f>5855.59</f>
        <v>5855.59</v>
      </c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42"/>
      <c r="BI122" s="43"/>
      <c r="BJ122" s="43"/>
      <c r="BK122" s="43"/>
      <c r="BL122" s="43"/>
    </row>
    <row r="123" spans="1:64" ht="15.75" customHeight="1" x14ac:dyDescent="0.25">
      <c r="A123" s="75"/>
      <c r="B123" s="73"/>
      <c r="C123" s="203" t="s">
        <v>182</v>
      </c>
      <c r="D123" s="212" t="s">
        <v>247</v>
      </c>
      <c r="E123" s="88">
        <v>9900</v>
      </c>
      <c r="F123" s="132"/>
      <c r="G123" s="132"/>
      <c r="H123" s="130"/>
      <c r="I123" s="39"/>
      <c r="J123" s="39"/>
      <c r="K123" s="39"/>
      <c r="L123" s="39"/>
      <c r="M123" s="39"/>
      <c r="N123" s="39"/>
      <c r="O123" s="39"/>
      <c r="P123" s="39"/>
      <c r="Q123" s="39"/>
      <c r="R123" s="41"/>
      <c r="S123" s="41"/>
      <c r="T123" s="4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42"/>
      <c r="BI123" s="43"/>
      <c r="BJ123" s="43"/>
      <c r="BK123" s="43"/>
      <c r="BL123" s="43"/>
    </row>
    <row r="124" spans="1:64" ht="15.75" hidden="1" customHeight="1" x14ac:dyDescent="0.25">
      <c r="A124" s="75"/>
      <c r="B124" s="75"/>
      <c r="C124" s="35" t="s">
        <v>248</v>
      </c>
      <c r="D124" s="77" t="s">
        <v>249</v>
      </c>
      <c r="E124" s="27"/>
      <c r="F124" s="37"/>
      <c r="G124" s="37"/>
      <c r="H124" s="37"/>
      <c r="I124" s="39">
        <f t="shared" si="95"/>
        <v>0</v>
      </c>
      <c r="J124" s="39">
        <f t="shared" si="95"/>
        <v>0</v>
      </c>
      <c r="K124" s="39">
        <f t="shared" si="95"/>
        <v>0</v>
      </c>
      <c r="L124" s="39">
        <f t="shared" si="70"/>
        <v>0</v>
      </c>
      <c r="M124" s="39">
        <f t="shared" si="70"/>
        <v>0</v>
      </c>
      <c r="N124" s="39">
        <f t="shared" si="70"/>
        <v>0</v>
      </c>
      <c r="O124" s="39">
        <f>E124-I124</f>
        <v>0</v>
      </c>
      <c r="P124" s="39">
        <f>F124-J124</f>
        <v>0</v>
      </c>
      <c r="Q124" s="39">
        <f t="shared" si="96"/>
        <v>0</v>
      </c>
      <c r="R124" s="41" t="e">
        <f t="shared" si="86"/>
        <v>#DIV/0!</v>
      </c>
      <c r="S124" s="41" t="e">
        <f t="shared" si="86"/>
        <v>#DIV/0!</v>
      </c>
      <c r="T124" s="41" t="e">
        <f t="shared" si="87"/>
        <v>#DIV/0!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42"/>
      <c r="BI124" s="43"/>
      <c r="BJ124" s="43"/>
      <c r="BK124" s="43"/>
      <c r="BL124" s="43"/>
    </row>
    <row r="125" spans="1:64" ht="15.75" customHeight="1" x14ac:dyDescent="0.25">
      <c r="A125" s="164"/>
      <c r="B125" s="164"/>
      <c r="C125" s="165"/>
      <c r="D125" s="166" t="s">
        <v>250</v>
      </c>
      <c r="E125" s="167">
        <f t="shared" ref="E125:K125" si="97">SUM(E126:E128)</f>
        <v>0</v>
      </c>
      <c r="F125" s="167">
        <f t="shared" si="97"/>
        <v>24308.400000000001</v>
      </c>
      <c r="G125" s="167"/>
      <c r="H125" s="167">
        <f t="shared" si="97"/>
        <v>0</v>
      </c>
      <c r="I125" s="167">
        <f t="shared" si="97"/>
        <v>0</v>
      </c>
      <c r="J125" s="167">
        <f t="shared" si="97"/>
        <v>15608.400000000001</v>
      </c>
      <c r="K125" s="167">
        <f t="shared" si="97"/>
        <v>0</v>
      </c>
      <c r="L125" s="157">
        <f t="shared" si="70"/>
        <v>0</v>
      </c>
      <c r="M125" s="157">
        <f t="shared" si="70"/>
        <v>15608.400000000001</v>
      </c>
      <c r="N125" s="157">
        <f t="shared" si="70"/>
        <v>0</v>
      </c>
      <c r="O125" s="167">
        <f>SUM(O126:O128)</f>
        <v>0</v>
      </c>
      <c r="P125" s="167">
        <f>SUM(P126:P128)</f>
        <v>8700</v>
      </c>
      <c r="Q125" s="167">
        <f>SUM(Q126:Q128)</f>
        <v>0</v>
      </c>
      <c r="R125" s="168" t="e">
        <f t="shared" si="86"/>
        <v>#DIV/0!</v>
      </c>
      <c r="S125" s="168">
        <f t="shared" si="86"/>
        <v>0.64209902749666781</v>
      </c>
      <c r="T125" s="168" t="e">
        <f t="shared" si="87"/>
        <v>#DIV/0!</v>
      </c>
      <c r="U125" s="167">
        <f t="shared" ref="U125:BG125" si="98">SUM(U126:U128)</f>
        <v>0</v>
      </c>
      <c r="V125" s="167">
        <f t="shared" si="98"/>
        <v>0</v>
      </c>
      <c r="W125" s="167">
        <f t="shared" si="98"/>
        <v>0</v>
      </c>
      <c r="X125" s="167">
        <f t="shared" si="98"/>
        <v>0</v>
      </c>
      <c r="Y125" s="167">
        <f t="shared" si="98"/>
        <v>0</v>
      </c>
      <c r="Z125" s="167">
        <f t="shared" si="98"/>
        <v>0</v>
      </c>
      <c r="AA125" s="167">
        <f t="shared" si="98"/>
        <v>0</v>
      </c>
      <c r="AB125" s="167">
        <f t="shared" si="98"/>
        <v>13318.720000000001</v>
      </c>
      <c r="AC125" s="167">
        <f t="shared" si="98"/>
        <v>0</v>
      </c>
      <c r="AD125" s="167">
        <f t="shared" si="98"/>
        <v>0</v>
      </c>
      <c r="AE125" s="167">
        <f t="shared" si="98"/>
        <v>2289.6799999999998</v>
      </c>
      <c r="AF125" s="167">
        <f t="shared" si="98"/>
        <v>0</v>
      </c>
      <c r="AG125" s="167">
        <f t="shared" si="98"/>
        <v>0</v>
      </c>
      <c r="AH125" s="167">
        <f t="shared" si="98"/>
        <v>0</v>
      </c>
      <c r="AI125" s="167">
        <f t="shared" si="98"/>
        <v>0</v>
      </c>
      <c r="AJ125" s="167">
        <f t="shared" si="98"/>
        <v>0</v>
      </c>
      <c r="AK125" s="167">
        <f t="shared" si="98"/>
        <v>0</v>
      </c>
      <c r="AL125" s="167">
        <f t="shared" si="98"/>
        <v>0</v>
      </c>
      <c r="AM125" s="167">
        <f t="shared" si="98"/>
        <v>0</v>
      </c>
      <c r="AN125" s="167">
        <f t="shared" si="98"/>
        <v>0</v>
      </c>
      <c r="AO125" s="167">
        <f t="shared" si="98"/>
        <v>0</v>
      </c>
      <c r="AP125" s="167">
        <f t="shared" si="98"/>
        <v>0</v>
      </c>
      <c r="AQ125" s="167">
        <f t="shared" si="98"/>
        <v>0</v>
      </c>
      <c r="AR125" s="167">
        <f t="shared" si="98"/>
        <v>0</v>
      </c>
      <c r="AS125" s="167">
        <f t="shared" si="98"/>
        <v>0</v>
      </c>
      <c r="AT125" s="167">
        <f t="shared" si="98"/>
        <v>0</v>
      </c>
      <c r="AU125" s="167">
        <f t="shared" si="98"/>
        <v>0</v>
      </c>
      <c r="AV125" s="167">
        <f t="shared" si="98"/>
        <v>0</v>
      </c>
      <c r="AW125" s="167">
        <f t="shared" si="98"/>
        <v>0</v>
      </c>
      <c r="AX125" s="167">
        <f t="shared" si="98"/>
        <v>0</v>
      </c>
      <c r="AY125" s="167">
        <f t="shared" si="98"/>
        <v>0</v>
      </c>
      <c r="AZ125" s="167">
        <f t="shared" si="98"/>
        <v>0</v>
      </c>
      <c r="BA125" s="167">
        <f t="shared" si="98"/>
        <v>0</v>
      </c>
      <c r="BB125" s="167">
        <f t="shared" si="98"/>
        <v>0</v>
      </c>
      <c r="BC125" s="167">
        <f t="shared" si="98"/>
        <v>0</v>
      </c>
      <c r="BD125" s="167">
        <f t="shared" si="98"/>
        <v>0</v>
      </c>
      <c r="BE125" s="167">
        <f t="shared" si="98"/>
        <v>0</v>
      </c>
      <c r="BF125" s="167">
        <f t="shared" si="98"/>
        <v>0</v>
      </c>
      <c r="BG125" s="167">
        <f t="shared" si="98"/>
        <v>0</v>
      </c>
      <c r="BH125" s="154"/>
      <c r="BI125" s="155"/>
      <c r="BJ125" s="155"/>
      <c r="BK125" s="155"/>
      <c r="BL125" s="155"/>
    </row>
    <row r="126" spans="1:64" ht="15.75" hidden="1" customHeight="1" x14ac:dyDescent="0.25">
      <c r="A126" s="75"/>
      <c r="B126" s="75"/>
      <c r="C126" s="35" t="s">
        <v>182</v>
      </c>
      <c r="D126" s="77" t="s">
        <v>251</v>
      </c>
      <c r="E126" s="37"/>
      <c r="F126" s="37"/>
      <c r="G126" s="37"/>
      <c r="H126" s="38"/>
      <c r="I126" s="39">
        <f t="shared" ref="I126:K128" si="99">U126+X126+AA126+AD126+AG126+AJ126+AM126+AP126+AS126+AV126+AY126+BB126</f>
        <v>0</v>
      </c>
      <c r="J126" s="39">
        <f t="shared" si="99"/>
        <v>0</v>
      </c>
      <c r="K126" s="39">
        <f t="shared" si="99"/>
        <v>0</v>
      </c>
      <c r="L126" s="39">
        <f t="shared" si="70"/>
        <v>0</v>
      </c>
      <c r="M126" s="39">
        <f t="shared" si="70"/>
        <v>0</v>
      </c>
      <c r="N126" s="39">
        <f t="shared" si="70"/>
        <v>0</v>
      </c>
      <c r="O126" s="39">
        <f t="shared" ref="O126:P128" si="100">E126-I126</f>
        <v>0</v>
      </c>
      <c r="P126" s="39">
        <f t="shared" si="100"/>
        <v>0</v>
      </c>
      <c r="Q126" s="39">
        <f t="shared" ref="Q126:Q128" si="101">H126-K126</f>
        <v>0</v>
      </c>
      <c r="R126" s="41" t="e">
        <f t="shared" si="86"/>
        <v>#DIV/0!</v>
      </c>
      <c r="S126" s="41" t="e">
        <f t="shared" si="86"/>
        <v>#DIV/0!</v>
      </c>
      <c r="T126" s="41" t="e">
        <f t="shared" si="87"/>
        <v>#DIV/0!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8"/>
      <c r="BC126" s="37"/>
      <c r="BD126" s="37"/>
      <c r="BE126" s="38"/>
      <c r="BF126" s="37"/>
      <c r="BG126" s="37"/>
      <c r="BH126" s="42"/>
      <c r="BI126" s="43"/>
      <c r="BJ126" s="43"/>
      <c r="BK126" s="43"/>
      <c r="BL126" s="43"/>
    </row>
    <row r="127" spans="1:64" ht="31.5" x14ac:dyDescent="0.25">
      <c r="A127" s="75"/>
      <c r="B127" s="73" t="s">
        <v>252</v>
      </c>
      <c r="C127" s="203"/>
      <c r="D127" s="212" t="s">
        <v>253</v>
      </c>
      <c r="E127" s="37"/>
      <c r="F127" s="52">
        <f>6550+2289.68+6768.72+8700</f>
        <v>24308.400000000001</v>
      </c>
      <c r="G127" s="52"/>
      <c r="H127" s="38"/>
      <c r="I127" s="39">
        <f t="shared" si="99"/>
        <v>0</v>
      </c>
      <c r="J127" s="39">
        <f t="shared" si="99"/>
        <v>15608.400000000001</v>
      </c>
      <c r="K127" s="39">
        <f t="shared" si="99"/>
        <v>0</v>
      </c>
      <c r="L127" s="39">
        <f t="shared" si="70"/>
        <v>0</v>
      </c>
      <c r="M127" s="39">
        <f t="shared" si="70"/>
        <v>15608.400000000001</v>
      </c>
      <c r="N127" s="39">
        <f t="shared" si="70"/>
        <v>0</v>
      </c>
      <c r="O127" s="39">
        <f t="shared" si="100"/>
        <v>0</v>
      </c>
      <c r="P127" s="39">
        <f t="shared" si="100"/>
        <v>8700</v>
      </c>
      <c r="Q127" s="39">
        <f t="shared" si="101"/>
        <v>0</v>
      </c>
      <c r="R127" s="41" t="e">
        <f t="shared" si="86"/>
        <v>#DIV/0!</v>
      </c>
      <c r="S127" s="41">
        <f t="shared" si="86"/>
        <v>0.64209902749666781</v>
      </c>
      <c r="T127" s="41" t="e">
        <f t="shared" si="87"/>
        <v>#DIV/0!</v>
      </c>
      <c r="U127" s="169"/>
      <c r="V127" s="37"/>
      <c r="W127" s="37"/>
      <c r="X127" s="37"/>
      <c r="Y127" s="37"/>
      <c r="Z127" s="37"/>
      <c r="AA127" s="37"/>
      <c r="AB127" s="37">
        <f>6550+6768.72</f>
        <v>13318.720000000001</v>
      </c>
      <c r="AC127" s="37"/>
      <c r="AD127" s="37"/>
      <c r="AE127" s="37">
        <v>2289.6799999999998</v>
      </c>
      <c r="AF127" s="37"/>
      <c r="AG127" s="37"/>
      <c r="AH127" s="37"/>
      <c r="AI127" s="37"/>
      <c r="AJ127" s="37"/>
      <c r="AK127" s="37"/>
      <c r="AL127" s="37"/>
      <c r="AM127" s="37"/>
      <c r="AN127" s="37"/>
      <c r="AO127" s="130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42"/>
      <c r="BI127" s="43"/>
      <c r="BJ127" s="43"/>
      <c r="BK127" s="43"/>
      <c r="BL127" s="43"/>
    </row>
    <row r="128" spans="1:64" ht="15.75" hidden="1" customHeight="1" x14ac:dyDescent="0.25">
      <c r="A128" s="75"/>
      <c r="B128" s="75"/>
      <c r="C128" s="35" t="s">
        <v>175</v>
      </c>
      <c r="D128" s="133" t="s">
        <v>254</v>
      </c>
      <c r="E128" s="130"/>
      <c r="F128" s="132"/>
      <c r="G128" s="132"/>
      <c r="H128" s="130"/>
      <c r="I128" s="39">
        <f t="shared" si="99"/>
        <v>0</v>
      </c>
      <c r="J128" s="39">
        <f t="shared" si="99"/>
        <v>0</v>
      </c>
      <c r="K128" s="39">
        <f t="shared" si="99"/>
        <v>0</v>
      </c>
      <c r="L128" s="39">
        <f t="shared" si="70"/>
        <v>0</v>
      </c>
      <c r="M128" s="39">
        <f t="shared" si="70"/>
        <v>0</v>
      </c>
      <c r="N128" s="39">
        <f t="shared" si="70"/>
        <v>0</v>
      </c>
      <c r="O128" s="39">
        <f t="shared" si="100"/>
        <v>0</v>
      </c>
      <c r="P128" s="39">
        <f t="shared" si="100"/>
        <v>0</v>
      </c>
      <c r="Q128" s="39">
        <f t="shared" si="101"/>
        <v>0</v>
      </c>
      <c r="R128" s="41" t="e">
        <f t="shared" si="86"/>
        <v>#DIV/0!</v>
      </c>
      <c r="S128" s="41" t="e">
        <f t="shared" si="86"/>
        <v>#DIV/0!</v>
      </c>
      <c r="T128" s="41" t="e">
        <f t="shared" si="87"/>
        <v>#DIV/0!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42"/>
      <c r="BI128" s="43"/>
      <c r="BJ128" s="43"/>
      <c r="BK128" s="43"/>
      <c r="BL128" s="43"/>
    </row>
    <row r="129" spans="1:64" ht="21" x14ac:dyDescent="0.25">
      <c r="A129" s="30"/>
      <c r="B129" s="30"/>
      <c r="C129" s="30" t="s">
        <v>255</v>
      </c>
      <c r="D129" s="30"/>
      <c r="E129" s="32">
        <f t="shared" ref="E129:K129" si="102">E130+E138+E153</f>
        <v>33543.54</v>
      </c>
      <c r="F129" s="32">
        <f>F130+F138+F153</f>
        <v>10631.66</v>
      </c>
      <c r="G129" s="32">
        <f t="shared" si="102"/>
        <v>1118.73</v>
      </c>
      <c r="H129" s="32">
        <f t="shared" si="102"/>
        <v>0</v>
      </c>
      <c r="I129" s="32">
        <f t="shared" si="102"/>
        <v>17343.54</v>
      </c>
      <c r="J129" s="32">
        <f t="shared" si="102"/>
        <v>6316</v>
      </c>
      <c r="K129" s="32">
        <f t="shared" si="102"/>
        <v>0</v>
      </c>
      <c r="L129" s="32">
        <f t="shared" si="70"/>
        <v>17343.54</v>
      </c>
      <c r="M129" s="32">
        <f t="shared" si="70"/>
        <v>6316</v>
      </c>
      <c r="N129" s="32">
        <f t="shared" si="70"/>
        <v>0</v>
      </c>
      <c r="O129" s="32">
        <f>O130+O138+O153</f>
        <v>0</v>
      </c>
      <c r="P129" s="32">
        <f>P130+P138+P153</f>
        <v>3196.9300000000007</v>
      </c>
      <c r="Q129" s="32">
        <f>Q130+Q138+Q153</f>
        <v>0</v>
      </c>
      <c r="R129" s="33">
        <f t="shared" si="86"/>
        <v>0.51704560699317959</v>
      </c>
      <c r="S129" s="33">
        <f t="shared" si="86"/>
        <v>0.59407467883660692</v>
      </c>
      <c r="T129" s="33" t="e">
        <f t="shared" si="87"/>
        <v>#DIV/0!</v>
      </c>
      <c r="U129" s="32">
        <f t="shared" ref="U129:BG129" si="103">U130+U138+U153</f>
        <v>0</v>
      </c>
      <c r="V129" s="32">
        <f t="shared" si="103"/>
        <v>0</v>
      </c>
      <c r="W129" s="32">
        <f t="shared" si="103"/>
        <v>0</v>
      </c>
      <c r="X129" s="32">
        <f t="shared" si="103"/>
        <v>1621.62</v>
      </c>
      <c r="Y129" s="32">
        <f t="shared" si="103"/>
        <v>6316</v>
      </c>
      <c r="Z129" s="32">
        <f t="shared" si="103"/>
        <v>0</v>
      </c>
      <c r="AA129" s="32">
        <f t="shared" si="103"/>
        <v>0</v>
      </c>
      <c r="AB129" s="32">
        <f t="shared" si="103"/>
        <v>0</v>
      </c>
      <c r="AC129" s="32">
        <f t="shared" si="103"/>
        <v>0</v>
      </c>
      <c r="AD129" s="32">
        <f t="shared" si="103"/>
        <v>810.81</v>
      </c>
      <c r="AE129" s="32">
        <f t="shared" si="103"/>
        <v>0</v>
      </c>
      <c r="AF129" s="32">
        <f t="shared" si="103"/>
        <v>0</v>
      </c>
      <c r="AG129" s="32">
        <f t="shared" si="103"/>
        <v>13289.49</v>
      </c>
      <c r="AH129" s="32">
        <f t="shared" si="103"/>
        <v>0</v>
      </c>
      <c r="AI129" s="32">
        <f t="shared" si="103"/>
        <v>0</v>
      </c>
      <c r="AJ129" s="32">
        <f t="shared" si="103"/>
        <v>1621.62</v>
      </c>
      <c r="AK129" s="32">
        <f t="shared" si="103"/>
        <v>0</v>
      </c>
      <c r="AL129" s="32">
        <f t="shared" si="103"/>
        <v>0</v>
      </c>
      <c r="AM129" s="32">
        <f t="shared" si="103"/>
        <v>0</v>
      </c>
      <c r="AN129" s="32">
        <f t="shared" si="103"/>
        <v>0</v>
      </c>
      <c r="AO129" s="32">
        <f t="shared" si="103"/>
        <v>0</v>
      </c>
      <c r="AP129" s="32">
        <f t="shared" si="103"/>
        <v>0</v>
      </c>
      <c r="AQ129" s="32">
        <f t="shared" si="103"/>
        <v>0</v>
      </c>
      <c r="AR129" s="32">
        <f t="shared" si="103"/>
        <v>0</v>
      </c>
      <c r="AS129" s="32">
        <f t="shared" si="103"/>
        <v>0</v>
      </c>
      <c r="AT129" s="32">
        <f t="shared" si="103"/>
        <v>0</v>
      </c>
      <c r="AU129" s="32">
        <f t="shared" si="103"/>
        <v>0</v>
      </c>
      <c r="AV129" s="32">
        <f t="shared" si="103"/>
        <v>0</v>
      </c>
      <c r="AW129" s="32">
        <f t="shared" si="103"/>
        <v>0</v>
      </c>
      <c r="AX129" s="32">
        <f t="shared" si="103"/>
        <v>0</v>
      </c>
      <c r="AY129" s="32">
        <f t="shared" si="103"/>
        <v>0</v>
      </c>
      <c r="AZ129" s="32">
        <f t="shared" si="103"/>
        <v>0</v>
      </c>
      <c r="BA129" s="32">
        <f t="shared" si="103"/>
        <v>0</v>
      </c>
      <c r="BB129" s="32">
        <f t="shared" si="103"/>
        <v>0</v>
      </c>
      <c r="BC129" s="32">
        <f t="shared" si="103"/>
        <v>0</v>
      </c>
      <c r="BD129" s="32">
        <f t="shared" si="103"/>
        <v>0</v>
      </c>
      <c r="BE129" s="32">
        <f t="shared" si="103"/>
        <v>0</v>
      </c>
      <c r="BF129" s="32">
        <f t="shared" si="103"/>
        <v>0</v>
      </c>
      <c r="BG129" s="32">
        <f t="shared" si="103"/>
        <v>0</v>
      </c>
      <c r="BH129" s="78"/>
      <c r="BI129" s="79"/>
      <c r="BJ129" s="79"/>
      <c r="BK129" s="79"/>
      <c r="BL129" s="79"/>
    </row>
    <row r="130" spans="1:64" ht="15.75" hidden="1" customHeight="1" x14ac:dyDescent="0.25">
      <c r="A130" s="170"/>
      <c r="B130" s="170"/>
      <c r="C130" s="111"/>
      <c r="D130" s="171" t="s">
        <v>256</v>
      </c>
      <c r="E130" s="172">
        <f t="shared" ref="E130:K130" si="104">E131+E135</f>
        <v>0</v>
      </c>
      <c r="F130" s="172">
        <f t="shared" si="104"/>
        <v>0</v>
      </c>
      <c r="G130" s="172">
        <f t="shared" si="104"/>
        <v>0</v>
      </c>
      <c r="H130" s="172">
        <f t="shared" si="104"/>
        <v>0</v>
      </c>
      <c r="I130" s="172">
        <f t="shared" si="104"/>
        <v>0</v>
      </c>
      <c r="J130" s="172">
        <f t="shared" si="104"/>
        <v>0</v>
      </c>
      <c r="K130" s="172">
        <f t="shared" si="104"/>
        <v>0</v>
      </c>
      <c r="L130" s="163">
        <f t="shared" si="70"/>
        <v>0</v>
      </c>
      <c r="M130" s="163">
        <f t="shared" si="70"/>
        <v>0</v>
      </c>
      <c r="N130" s="163">
        <f t="shared" si="70"/>
        <v>0</v>
      </c>
      <c r="O130" s="172">
        <f>O131+O135</f>
        <v>0</v>
      </c>
      <c r="P130" s="172">
        <f>P131+P135</f>
        <v>0</v>
      </c>
      <c r="Q130" s="172">
        <f>Q131+Q135</f>
        <v>0</v>
      </c>
      <c r="R130" s="173" t="e">
        <f t="shared" si="86"/>
        <v>#DIV/0!</v>
      </c>
      <c r="S130" s="173" t="e">
        <f t="shared" si="86"/>
        <v>#DIV/0!</v>
      </c>
      <c r="T130" s="173" t="e">
        <f t="shared" si="87"/>
        <v>#DIV/0!</v>
      </c>
      <c r="U130" s="172">
        <f t="shared" ref="U130:BG130" si="105">U131+U135</f>
        <v>0</v>
      </c>
      <c r="V130" s="172">
        <f t="shared" si="105"/>
        <v>0</v>
      </c>
      <c r="W130" s="172">
        <f t="shared" si="105"/>
        <v>0</v>
      </c>
      <c r="X130" s="172">
        <f t="shared" si="105"/>
        <v>0</v>
      </c>
      <c r="Y130" s="172">
        <f t="shared" si="105"/>
        <v>0</v>
      </c>
      <c r="Z130" s="172">
        <f t="shared" si="105"/>
        <v>0</v>
      </c>
      <c r="AA130" s="172">
        <f t="shared" si="105"/>
        <v>0</v>
      </c>
      <c r="AB130" s="172">
        <f t="shared" si="105"/>
        <v>0</v>
      </c>
      <c r="AC130" s="172">
        <f t="shared" si="105"/>
        <v>0</v>
      </c>
      <c r="AD130" s="172">
        <f t="shared" si="105"/>
        <v>0</v>
      </c>
      <c r="AE130" s="172">
        <f t="shared" si="105"/>
        <v>0</v>
      </c>
      <c r="AF130" s="172">
        <f t="shared" si="105"/>
        <v>0</v>
      </c>
      <c r="AG130" s="172">
        <f t="shared" si="105"/>
        <v>0</v>
      </c>
      <c r="AH130" s="172">
        <f t="shared" si="105"/>
        <v>0</v>
      </c>
      <c r="AI130" s="172">
        <f t="shared" si="105"/>
        <v>0</v>
      </c>
      <c r="AJ130" s="172">
        <f t="shared" si="105"/>
        <v>0</v>
      </c>
      <c r="AK130" s="172">
        <f t="shared" si="105"/>
        <v>0</v>
      </c>
      <c r="AL130" s="172">
        <f t="shared" si="105"/>
        <v>0</v>
      </c>
      <c r="AM130" s="172">
        <f t="shared" si="105"/>
        <v>0</v>
      </c>
      <c r="AN130" s="172">
        <f t="shared" si="105"/>
        <v>0</v>
      </c>
      <c r="AO130" s="172">
        <f t="shared" si="105"/>
        <v>0</v>
      </c>
      <c r="AP130" s="172">
        <f t="shared" si="105"/>
        <v>0</v>
      </c>
      <c r="AQ130" s="172">
        <f t="shared" si="105"/>
        <v>0</v>
      </c>
      <c r="AR130" s="172">
        <f t="shared" si="105"/>
        <v>0</v>
      </c>
      <c r="AS130" s="172">
        <f t="shared" si="105"/>
        <v>0</v>
      </c>
      <c r="AT130" s="172">
        <f t="shared" si="105"/>
        <v>0</v>
      </c>
      <c r="AU130" s="172">
        <f t="shared" si="105"/>
        <v>0</v>
      </c>
      <c r="AV130" s="172">
        <f t="shared" si="105"/>
        <v>0</v>
      </c>
      <c r="AW130" s="172">
        <f t="shared" si="105"/>
        <v>0</v>
      </c>
      <c r="AX130" s="172">
        <f t="shared" si="105"/>
        <v>0</v>
      </c>
      <c r="AY130" s="172">
        <f t="shared" si="105"/>
        <v>0</v>
      </c>
      <c r="AZ130" s="172">
        <f t="shared" si="105"/>
        <v>0</v>
      </c>
      <c r="BA130" s="172">
        <f t="shared" si="105"/>
        <v>0</v>
      </c>
      <c r="BB130" s="172">
        <f t="shared" si="105"/>
        <v>0</v>
      </c>
      <c r="BC130" s="172">
        <f t="shared" si="105"/>
        <v>0</v>
      </c>
      <c r="BD130" s="172">
        <f t="shared" si="105"/>
        <v>0</v>
      </c>
      <c r="BE130" s="172">
        <f t="shared" si="105"/>
        <v>0</v>
      </c>
      <c r="BF130" s="172">
        <f t="shared" si="105"/>
        <v>0</v>
      </c>
      <c r="BG130" s="172">
        <f t="shared" si="105"/>
        <v>0</v>
      </c>
      <c r="BH130" s="85"/>
      <c r="BI130" s="86"/>
      <c r="BJ130" s="86"/>
      <c r="BK130" s="86"/>
      <c r="BL130" s="86"/>
    </row>
    <row r="131" spans="1:64" ht="15.75" hidden="1" x14ac:dyDescent="0.25">
      <c r="A131" s="158"/>
      <c r="B131" s="158"/>
      <c r="C131" s="149"/>
      <c r="D131" s="150" t="s">
        <v>257</v>
      </c>
      <c r="E131" s="151">
        <f t="shared" ref="E131:K131" si="106">SUM(E132:E134)</f>
        <v>0</v>
      </c>
      <c r="F131" s="151">
        <f t="shared" si="106"/>
        <v>0</v>
      </c>
      <c r="G131" s="151"/>
      <c r="H131" s="151">
        <f t="shared" si="106"/>
        <v>0</v>
      </c>
      <c r="I131" s="151">
        <f t="shared" si="106"/>
        <v>0</v>
      </c>
      <c r="J131" s="151">
        <f t="shared" si="106"/>
        <v>0</v>
      </c>
      <c r="K131" s="151">
        <f t="shared" si="106"/>
        <v>0</v>
      </c>
      <c r="L131" s="174">
        <f t="shared" si="70"/>
        <v>0</v>
      </c>
      <c r="M131" s="174">
        <f t="shared" si="70"/>
        <v>0</v>
      </c>
      <c r="N131" s="174">
        <f t="shared" si="70"/>
        <v>0</v>
      </c>
      <c r="O131" s="151">
        <f>SUM(O132:O134)</f>
        <v>0</v>
      </c>
      <c r="P131" s="151">
        <f>SUM(P132:P134)</f>
        <v>0</v>
      </c>
      <c r="Q131" s="151">
        <f>SUM(Q132:Q134)</f>
        <v>0</v>
      </c>
      <c r="R131" s="175" t="e">
        <f t="shared" si="86"/>
        <v>#DIV/0!</v>
      </c>
      <c r="S131" s="175" t="e">
        <f t="shared" si="86"/>
        <v>#DIV/0!</v>
      </c>
      <c r="T131" s="175" t="e">
        <f t="shared" si="87"/>
        <v>#DIV/0!</v>
      </c>
      <c r="U131" s="151">
        <f t="shared" ref="U131:BG131" si="107">SUM(U132:U134)</f>
        <v>0</v>
      </c>
      <c r="V131" s="151">
        <f t="shared" si="107"/>
        <v>0</v>
      </c>
      <c r="W131" s="151">
        <f t="shared" si="107"/>
        <v>0</v>
      </c>
      <c r="X131" s="151">
        <f t="shared" si="107"/>
        <v>0</v>
      </c>
      <c r="Y131" s="151">
        <f t="shared" si="107"/>
        <v>0</v>
      </c>
      <c r="Z131" s="151">
        <f t="shared" si="107"/>
        <v>0</v>
      </c>
      <c r="AA131" s="151">
        <f t="shared" si="107"/>
        <v>0</v>
      </c>
      <c r="AB131" s="151">
        <f t="shared" si="107"/>
        <v>0</v>
      </c>
      <c r="AC131" s="151">
        <f t="shared" si="107"/>
        <v>0</v>
      </c>
      <c r="AD131" s="151">
        <f t="shared" si="107"/>
        <v>0</v>
      </c>
      <c r="AE131" s="151">
        <f t="shared" si="107"/>
        <v>0</v>
      </c>
      <c r="AF131" s="151">
        <f t="shared" si="107"/>
        <v>0</v>
      </c>
      <c r="AG131" s="151">
        <f t="shared" si="107"/>
        <v>0</v>
      </c>
      <c r="AH131" s="151">
        <f t="shared" si="107"/>
        <v>0</v>
      </c>
      <c r="AI131" s="151">
        <f t="shared" si="107"/>
        <v>0</v>
      </c>
      <c r="AJ131" s="151">
        <f t="shared" si="107"/>
        <v>0</v>
      </c>
      <c r="AK131" s="151">
        <f t="shared" si="107"/>
        <v>0</v>
      </c>
      <c r="AL131" s="151">
        <f t="shared" si="107"/>
        <v>0</v>
      </c>
      <c r="AM131" s="151">
        <f t="shared" si="107"/>
        <v>0</v>
      </c>
      <c r="AN131" s="151">
        <f t="shared" si="107"/>
        <v>0</v>
      </c>
      <c r="AO131" s="151">
        <f t="shared" si="107"/>
        <v>0</v>
      </c>
      <c r="AP131" s="151">
        <f t="shared" si="107"/>
        <v>0</v>
      </c>
      <c r="AQ131" s="151">
        <f t="shared" si="107"/>
        <v>0</v>
      </c>
      <c r="AR131" s="151">
        <f t="shared" si="107"/>
        <v>0</v>
      </c>
      <c r="AS131" s="151">
        <f t="shared" si="107"/>
        <v>0</v>
      </c>
      <c r="AT131" s="151">
        <f t="shared" si="107"/>
        <v>0</v>
      </c>
      <c r="AU131" s="151">
        <f t="shared" si="107"/>
        <v>0</v>
      </c>
      <c r="AV131" s="151">
        <f t="shared" si="107"/>
        <v>0</v>
      </c>
      <c r="AW131" s="151">
        <f t="shared" si="107"/>
        <v>0</v>
      </c>
      <c r="AX131" s="151">
        <f t="shared" si="107"/>
        <v>0</v>
      </c>
      <c r="AY131" s="151">
        <f t="shared" si="107"/>
        <v>0</v>
      </c>
      <c r="AZ131" s="151">
        <f t="shared" si="107"/>
        <v>0</v>
      </c>
      <c r="BA131" s="151">
        <f t="shared" si="107"/>
        <v>0</v>
      </c>
      <c r="BB131" s="151">
        <f t="shared" si="107"/>
        <v>0</v>
      </c>
      <c r="BC131" s="151">
        <f t="shared" si="107"/>
        <v>0</v>
      </c>
      <c r="BD131" s="151">
        <f t="shared" si="107"/>
        <v>0</v>
      </c>
      <c r="BE131" s="151">
        <f t="shared" si="107"/>
        <v>0</v>
      </c>
      <c r="BF131" s="151">
        <f t="shared" si="107"/>
        <v>0</v>
      </c>
      <c r="BG131" s="151">
        <f t="shared" si="107"/>
        <v>0</v>
      </c>
      <c r="BH131" s="154"/>
      <c r="BI131" s="155"/>
      <c r="BJ131" s="155"/>
      <c r="BK131" s="155"/>
      <c r="BL131" s="155"/>
    </row>
    <row r="132" spans="1:64" ht="16.5" hidden="1" customHeight="1" x14ac:dyDescent="0.25">
      <c r="A132" s="75"/>
      <c r="B132" s="75"/>
      <c r="C132" s="35" t="s">
        <v>209</v>
      </c>
      <c r="D132" s="77" t="s">
        <v>258</v>
      </c>
      <c r="E132" s="88"/>
      <c r="F132" s="37"/>
      <c r="G132" s="37"/>
      <c r="H132" s="37"/>
      <c r="I132" s="39">
        <f t="shared" ref="I132:K134" si="108">U132+X132+AA132+AD132+AG132+AJ132+AM132+AP132+AS132+AV132+AY132+BB132</f>
        <v>0</v>
      </c>
      <c r="J132" s="39">
        <f t="shared" si="108"/>
        <v>0</v>
      </c>
      <c r="K132" s="39">
        <f t="shared" si="108"/>
        <v>0</v>
      </c>
      <c r="L132" s="39">
        <f t="shared" si="70"/>
        <v>0</v>
      </c>
      <c r="M132" s="39">
        <f t="shared" si="70"/>
        <v>0</v>
      </c>
      <c r="N132" s="39">
        <f t="shared" si="70"/>
        <v>0</v>
      </c>
      <c r="O132" s="39">
        <f t="shared" ref="O132:P134" si="109">E132-I132</f>
        <v>0</v>
      </c>
      <c r="P132" s="39">
        <f t="shared" si="109"/>
        <v>0</v>
      </c>
      <c r="Q132" s="39">
        <f t="shared" ref="Q132:Q134" si="110">H132-K132</f>
        <v>0</v>
      </c>
      <c r="R132" s="41" t="e">
        <f t="shared" si="86"/>
        <v>#DIV/0!</v>
      </c>
      <c r="S132" s="41" t="e">
        <f t="shared" si="86"/>
        <v>#DIV/0!</v>
      </c>
      <c r="T132" s="41" t="e">
        <f t="shared" si="87"/>
        <v>#DIV/0!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42"/>
      <c r="BI132" s="43"/>
      <c r="BJ132" s="43"/>
      <c r="BK132" s="43"/>
      <c r="BL132" s="43"/>
    </row>
    <row r="133" spans="1:64" ht="15.75" hidden="1" customHeight="1" x14ac:dyDescent="0.25">
      <c r="A133" s="34"/>
      <c r="B133" s="34"/>
      <c r="C133" s="35" t="s">
        <v>34</v>
      </c>
      <c r="D133" s="77" t="s">
        <v>159</v>
      </c>
      <c r="E133" s="38"/>
      <c r="F133" s="37"/>
      <c r="G133" s="37"/>
      <c r="H133" s="176"/>
      <c r="I133" s="39">
        <f t="shared" si="108"/>
        <v>0</v>
      </c>
      <c r="J133" s="39">
        <f t="shared" si="108"/>
        <v>0</v>
      </c>
      <c r="K133" s="39">
        <f t="shared" si="108"/>
        <v>0</v>
      </c>
      <c r="L133" s="39">
        <f t="shared" si="70"/>
        <v>0</v>
      </c>
      <c r="M133" s="39">
        <f t="shared" si="70"/>
        <v>0</v>
      </c>
      <c r="N133" s="39">
        <f t="shared" si="70"/>
        <v>0</v>
      </c>
      <c r="O133" s="39">
        <f t="shared" si="109"/>
        <v>0</v>
      </c>
      <c r="P133" s="39">
        <f t="shared" si="109"/>
        <v>0</v>
      </c>
      <c r="Q133" s="39">
        <f t="shared" si="110"/>
        <v>0</v>
      </c>
      <c r="R133" s="41" t="e">
        <f t="shared" si="86"/>
        <v>#DIV/0!</v>
      </c>
      <c r="S133" s="41" t="e">
        <f t="shared" si="86"/>
        <v>#DIV/0!</v>
      </c>
      <c r="T133" s="41" t="e">
        <f t="shared" si="87"/>
        <v>#DIV/0!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42"/>
      <c r="BI133" s="43"/>
      <c r="BJ133" s="43"/>
      <c r="BK133" s="43"/>
      <c r="BL133" s="43"/>
    </row>
    <row r="134" spans="1:64" ht="15.75" hidden="1" customHeight="1" x14ac:dyDescent="0.25">
      <c r="A134" s="75"/>
      <c r="B134" s="75"/>
      <c r="C134" s="35" t="s">
        <v>160</v>
      </c>
      <c r="D134" s="77" t="s">
        <v>161</v>
      </c>
      <c r="E134" s="38"/>
      <c r="F134" s="37"/>
      <c r="G134" s="37"/>
      <c r="H134" s="38"/>
      <c r="I134" s="39">
        <f t="shared" si="108"/>
        <v>0</v>
      </c>
      <c r="J134" s="39">
        <f t="shared" si="108"/>
        <v>0</v>
      </c>
      <c r="K134" s="39">
        <f t="shared" si="108"/>
        <v>0</v>
      </c>
      <c r="L134" s="39">
        <f t="shared" si="70"/>
        <v>0</v>
      </c>
      <c r="M134" s="39">
        <f t="shared" si="70"/>
        <v>0</v>
      </c>
      <c r="N134" s="39">
        <f t="shared" si="70"/>
        <v>0</v>
      </c>
      <c r="O134" s="39">
        <f t="shared" si="109"/>
        <v>0</v>
      </c>
      <c r="P134" s="39">
        <f t="shared" si="109"/>
        <v>0</v>
      </c>
      <c r="Q134" s="39">
        <f t="shared" si="110"/>
        <v>0</v>
      </c>
      <c r="R134" s="41" t="e">
        <f t="shared" si="86"/>
        <v>#DIV/0!</v>
      </c>
      <c r="S134" s="41" t="e">
        <f t="shared" si="86"/>
        <v>#DIV/0!</v>
      </c>
      <c r="T134" s="41" t="e">
        <f t="shared" si="87"/>
        <v>#DIV/0!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42"/>
      <c r="BI134" s="43"/>
      <c r="BJ134" s="43"/>
      <c r="BK134" s="43"/>
      <c r="BL134" s="43"/>
    </row>
    <row r="135" spans="1:64" ht="15.75" hidden="1" x14ac:dyDescent="0.25">
      <c r="A135" s="158"/>
      <c r="B135" s="158"/>
      <c r="C135" s="149"/>
      <c r="D135" s="150" t="s">
        <v>259</v>
      </c>
      <c r="E135" s="151">
        <f t="shared" ref="E135:K135" si="111">SUM(E136:E137)</f>
        <v>0</v>
      </c>
      <c r="F135" s="151">
        <f t="shared" si="111"/>
        <v>0</v>
      </c>
      <c r="G135" s="151">
        <f t="shared" si="111"/>
        <v>0</v>
      </c>
      <c r="H135" s="151">
        <f t="shared" si="111"/>
        <v>0</v>
      </c>
      <c r="I135" s="151">
        <f t="shared" si="111"/>
        <v>0</v>
      </c>
      <c r="J135" s="151">
        <f t="shared" si="111"/>
        <v>0</v>
      </c>
      <c r="K135" s="151">
        <f t="shared" si="111"/>
        <v>0</v>
      </c>
      <c r="L135" s="174">
        <f t="shared" si="70"/>
        <v>0</v>
      </c>
      <c r="M135" s="174">
        <f t="shared" si="70"/>
        <v>0</v>
      </c>
      <c r="N135" s="174">
        <f t="shared" si="70"/>
        <v>0</v>
      </c>
      <c r="O135" s="151">
        <f>SUM(O136:O137)</f>
        <v>0</v>
      </c>
      <c r="P135" s="151">
        <f>SUM(P136:P137)</f>
        <v>0</v>
      </c>
      <c r="Q135" s="151">
        <f>SUM(Q136:Q137)</f>
        <v>0</v>
      </c>
      <c r="R135" s="175" t="e">
        <f t="shared" si="86"/>
        <v>#DIV/0!</v>
      </c>
      <c r="S135" s="175" t="e">
        <f t="shared" si="86"/>
        <v>#DIV/0!</v>
      </c>
      <c r="T135" s="175" t="e">
        <f t="shared" si="87"/>
        <v>#DIV/0!</v>
      </c>
      <c r="U135" s="151">
        <f t="shared" ref="U135:BG135" si="112">SUM(U136:U137)</f>
        <v>0</v>
      </c>
      <c r="V135" s="151">
        <f t="shared" si="112"/>
        <v>0</v>
      </c>
      <c r="W135" s="151">
        <f t="shared" si="112"/>
        <v>0</v>
      </c>
      <c r="X135" s="151">
        <f t="shared" si="112"/>
        <v>0</v>
      </c>
      <c r="Y135" s="151">
        <f t="shared" si="112"/>
        <v>0</v>
      </c>
      <c r="Z135" s="151">
        <f t="shared" si="112"/>
        <v>0</v>
      </c>
      <c r="AA135" s="151">
        <f t="shared" si="112"/>
        <v>0</v>
      </c>
      <c r="AB135" s="151">
        <f t="shared" si="112"/>
        <v>0</v>
      </c>
      <c r="AC135" s="151">
        <f t="shared" si="112"/>
        <v>0</v>
      </c>
      <c r="AD135" s="151">
        <f t="shared" si="112"/>
        <v>0</v>
      </c>
      <c r="AE135" s="151">
        <f t="shared" si="112"/>
        <v>0</v>
      </c>
      <c r="AF135" s="151">
        <f t="shared" si="112"/>
        <v>0</v>
      </c>
      <c r="AG135" s="151">
        <f t="shared" si="112"/>
        <v>0</v>
      </c>
      <c r="AH135" s="151">
        <f t="shared" si="112"/>
        <v>0</v>
      </c>
      <c r="AI135" s="151">
        <f t="shared" si="112"/>
        <v>0</v>
      </c>
      <c r="AJ135" s="151">
        <f t="shared" si="112"/>
        <v>0</v>
      </c>
      <c r="AK135" s="151">
        <f t="shared" si="112"/>
        <v>0</v>
      </c>
      <c r="AL135" s="151">
        <f t="shared" si="112"/>
        <v>0</v>
      </c>
      <c r="AM135" s="151">
        <f t="shared" si="112"/>
        <v>0</v>
      </c>
      <c r="AN135" s="151">
        <f t="shared" si="112"/>
        <v>0</v>
      </c>
      <c r="AO135" s="151">
        <f t="shared" si="112"/>
        <v>0</v>
      </c>
      <c r="AP135" s="151">
        <f t="shared" si="112"/>
        <v>0</v>
      </c>
      <c r="AQ135" s="151">
        <f t="shared" si="112"/>
        <v>0</v>
      </c>
      <c r="AR135" s="151">
        <f t="shared" si="112"/>
        <v>0</v>
      </c>
      <c r="AS135" s="151">
        <f t="shared" si="112"/>
        <v>0</v>
      </c>
      <c r="AT135" s="151">
        <f t="shared" si="112"/>
        <v>0</v>
      </c>
      <c r="AU135" s="151">
        <f t="shared" si="112"/>
        <v>0</v>
      </c>
      <c r="AV135" s="151">
        <f t="shared" si="112"/>
        <v>0</v>
      </c>
      <c r="AW135" s="151">
        <f t="shared" si="112"/>
        <v>0</v>
      </c>
      <c r="AX135" s="151">
        <f t="shared" si="112"/>
        <v>0</v>
      </c>
      <c r="AY135" s="151">
        <f t="shared" si="112"/>
        <v>0</v>
      </c>
      <c r="AZ135" s="151">
        <f t="shared" si="112"/>
        <v>0</v>
      </c>
      <c r="BA135" s="151">
        <f t="shared" si="112"/>
        <v>0</v>
      </c>
      <c r="BB135" s="151">
        <f t="shared" si="112"/>
        <v>0</v>
      </c>
      <c r="BC135" s="151">
        <f t="shared" si="112"/>
        <v>0</v>
      </c>
      <c r="BD135" s="151">
        <f t="shared" si="112"/>
        <v>0</v>
      </c>
      <c r="BE135" s="151">
        <f t="shared" si="112"/>
        <v>0</v>
      </c>
      <c r="BF135" s="151">
        <f t="shared" si="112"/>
        <v>0</v>
      </c>
      <c r="BG135" s="151">
        <f t="shared" si="112"/>
        <v>0</v>
      </c>
      <c r="BH135" s="154"/>
      <c r="BI135" s="155"/>
      <c r="BJ135" s="155"/>
      <c r="BK135" s="155"/>
      <c r="BL135" s="155"/>
    </row>
    <row r="136" spans="1:64" ht="15.75" hidden="1" customHeight="1" x14ac:dyDescent="0.25">
      <c r="A136" s="75" t="s">
        <v>260</v>
      </c>
      <c r="B136" s="75"/>
      <c r="C136" s="35" t="s">
        <v>209</v>
      </c>
      <c r="D136" s="77" t="s">
        <v>261</v>
      </c>
      <c r="E136" s="38"/>
      <c r="F136" s="37"/>
      <c r="G136" s="37"/>
      <c r="H136" s="38"/>
      <c r="I136" s="39">
        <f>U136+X136+AA136+AD136+AG136+AJ136+AM136+AP136+AS136+AV136+AY136+BB136</f>
        <v>0</v>
      </c>
      <c r="J136" s="39">
        <f>V136+Y136+AB136+AE136+AH136+AK136+AN136+AQ136+AT136+AW136+AZ136+BC136</f>
        <v>0</v>
      </c>
      <c r="K136" s="39">
        <f>W136+Z136+AC136+AF136+AI136+AL136+AO136+AR136+AU136+AX136+BA136+BD136</f>
        <v>0</v>
      </c>
      <c r="L136" s="39">
        <f t="shared" ref="L136:N137" si="113">IF(BE136=0,SUM(U136+X136+AA136+AD136+AG136+AJ136+AM136+AP136+AS136+AV136+AY136+BB136),BE136)</f>
        <v>0</v>
      </c>
      <c r="M136" s="39">
        <f t="shared" ref="M136:M139" si="114">IF(BF136=0,SUM(V136+Y136+AB136+AE136+AH136+AK136+AN136+AQ136+AT136+AW136+AZ136+BC136),BF136)</f>
        <v>0</v>
      </c>
      <c r="N136" s="39">
        <f t="shared" si="113"/>
        <v>0</v>
      </c>
      <c r="O136" s="39">
        <f t="shared" ref="O136:P137" si="115">E136-I136</f>
        <v>0</v>
      </c>
      <c r="P136" s="39">
        <f t="shared" si="115"/>
        <v>0</v>
      </c>
      <c r="Q136" s="39">
        <f t="shared" ref="Q136:Q137" si="116">H136-K136</f>
        <v>0</v>
      </c>
      <c r="R136" s="41" t="e">
        <f t="shared" ref="R136:S151" si="117">I136/E136</f>
        <v>#DIV/0!</v>
      </c>
      <c r="S136" s="41" t="e">
        <f t="shared" si="117"/>
        <v>#DIV/0!</v>
      </c>
      <c r="T136" s="41" t="e">
        <f t="shared" si="87"/>
        <v>#DIV/0!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42"/>
      <c r="BI136" s="43"/>
      <c r="BJ136" s="43"/>
      <c r="BK136" s="43"/>
      <c r="BL136" s="43"/>
    </row>
    <row r="137" spans="1:64" ht="15.75" hidden="1" customHeight="1" x14ac:dyDescent="0.25">
      <c r="A137" s="75"/>
      <c r="B137" s="75"/>
      <c r="C137" s="135"/>
      <c r="D137" s="177"/>
      <c r="E137" s="38"/>
      <c r="F137" s="37"/>
      <c r="G137" s="37"/>
      <c r="H137" s="38"/>
      <c r="I137" s="39"/>
      <c r="J137" s="39">
        <f t="shared" ref="J137" si="118">V137+Y137+AB137+AE137+AH137+AK137+AN137+AQ137+AT137+AW137+AZ137+BC137</f>
        <v>0</v>
      </c>
      <c r="K137" s="39">
        <f>W137+Z137+AC137+AF137+AI137+AL137+AO137+AR137+AU137+AX137+BA137+BD137</f>
        <v>0</v>
      </c>
      <c r="L137" s="39">
        <f t="shared" si="113"/>
        <v>0</v>
      </c>
      <c r="M137" s="39">
        <f t="shared" si="114"/>
        <v>0</v>
      </c>
      <c r="N137" s="39">
        <f t="shared" si="113"/>
        <v>0</v>
      </c>
      <c r="O137" s="39">
        <f t="shared" si="115"/>
        <v>0</v>
      </c>
      <c r="P137" s="39">
        <f t="shared" si="115"/>
        <v>0</v>
      </c>
      <c r="Q137" s="39">
        <f t="shared" si="116"/>
        <v>0</v>
      </c>
      <c r="R137" s="41" t="e">
        <f t="shared" si="117"/>
        <v>#DIV/0!</v>
      </c>
      <c r="S137" s="41" t="e">
        <f t="shared" si="117"/>
        <v>#DIV/0!</v>
      </c>
      <c r="T137" s="41" t="e">
        <f t="shared" si="87"/>
        <v>#DIV/0!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42"/>
      <c r="BI137" s="43"/>
      <c r="BJ137" s="43"/>
      <c r="BK137" s="43"/>
      <c r="BL137" s="43"/>
    </row>
    <row r="138" spans="1:64" ht="15.75" customHeight="1" x14ac:dyDescent="0.25">
      <c r="A138" s="170"/>
      <c r="B138" s="170"/>
      <c r="C138" s="111"/>
      <c r="D138" s="171" t="s">
        <v>262</v>
      </c>
      <c r="E138" s="172">
        <f t="shared" ref="E138:K138" si="119">E139+E146</f>
        <v>33543.54</v>
      </c>
      <c r="F138" s="172">
        <f>F139+F146</f>
        <v>2048.62</v>
      </c>
      <c r="G138" s="172">
        <f t="shared" si="119"/>
        <v>1118.73</v>
      </c>
      <c r="H138" s="172">
        <f t="shared" si="119"/>
        <v>0</v>
      </c>
      <c r="I138" s="172">
        <f t="shared" si="119"/>
        <v>17343.54</v>
      </c>
      <c r="J138" s="172">
        <f t="shared" si="119"/>
        <v>0</v>
      </c>
      <c r="K138" s="172">
        <f t="shared" si="119"/>
        <v>0</v>
      </c>
      <c r="L138" s="172">
        <f>IF(BE138=0,SUM(U138+X138+AA138+AD138+AG138+AJ138+AM138+AP138+AS138+AV138+AY138+BB138),BE138)</f>
        <v>17343.54</v>
      </c>
      <c r="M138" s="172">
        <f t="shared" si="114"/>
        <v>0</v>
      </c>
      <c r="N138" s="172">
        <f>IF(BG138=0,SUM(W138+Z138+AC138+AF138+AI138+AL138+AO138+AR138+AU138+AX138+BA138+BD138),BG138)</f>
        <v>0</v>
      </c>
      <c r="O138" s="172">
        <f>O139+O146</f>
        <v>0</v>
      </c>
      <c r="P138" s="172">
        <f>P139+P146</f>
        <v>929.89</v>
      </c>
      <c r="Q138" s="172">
        <f>Q139+Q146</f>
        <v>0</v>
      </c>
      <c r="R138" s="173">
        <f t="shared" si="117"/>
        <v>0.51704560699317959</v>
      </c>
      <c r="S138" s="173">
        <f>J138/F138</f>
        <v>0</v>
      </c>
      <c r="T138" s="173" t="e">
        <f t="shared" si="87"/>
        <v>#DIV/0!</v>
      </c>
      <c r="U138" s="172">
        <f t="shared" ref="U138:BG138" si="120">U139+U146</f>
        <v>0</v>
      </c>
      <c r="V138" s="172">
        <f t="shared" si="120"/>
        <v>0</v>
      </c>
      <c r="W138" s="172">
        <f t="shared" si="120"/>
        <v>0</v>
      </c>
      <c r="X138" s="172">
        <f t="shared" si="120"/>
        <v>1621.62</v>
      </c>
      <c r="Y138" s="172">
        <f t="shared" si="120"/>
        <v>0</v>
      </c>
      <c r="Z138" s="172">
        <f t="shared" si="120"/>
        <v>0</v>
      </c>
      <c r="AA138" s="172">
        <f t="shared" si="120"/>
        <v>0</v>
      </c>
      <c r="AB138" s="172">
        <f t="shared" si="120"/>
        <v>0</v>
      </c>
      <c r="AC138" s="172">
        <f t="shared" si="120"/>
        <v>0</v>
      </c>
      <c r="AD138" s="172">
        <f t="shared" si="120"/>
        <v>810.81</v>
      </c>
      <c r="AE138" s="172">
        <f t="shared" si="120"/>
        <v>0</v>
      </c>
      <c r="AF138" s="172">
        <f t="shared" si="120"/>
        <v>0</v>
      </c>
      <c r="AG138" s="172">
        <f t="shared" si="120"/>
        <v>13289.49</v>
      </c>
      <c r="AH138" s="172">
        <f t="shared" si="120"/>
        <v>0</v>
      </c>
      <c r="AI138" s="172">
        <f t="shared" si="120"/>
        <v>0</v>
      </c>
      <c r="AJ138" s="172">
        <f t="shared" si="120"/>
        <v>1621.62</v>
      </c>
      <c r="AK138" s="172">
        <f t="shared" si="120"/>
        <v>0</v>
      </c>
      <c r="AL138" s="172">
        <f t="shared" si="120"/>
        <v>0</v>
      </c>
      <c r="AM138" s="172">
        <f t="shared" si="120"/>
        <v>0</v>
      </c>
      <c r="AN138" s="172">
        <f t="shared" si="120"/>
        <v>0</v>
      </c>
      <c r="AO138" s="172">
        <f t="shared" si="120"/>
        <v>0</v>
      </c>
      <c r="AP138" s="172">
        <f t="shared" si="120"/>
        <v>0</v>
      </c>
      <c r="AQ138" s="172">
        <f t="shared" si="120"/>
        <v>0</v>
      </c>
      <c r="AR138" s="172">
        <f t="shared" si="120"/>
        <v>0</v>
      </c>
      <c r="AS138" s="172">
        <f t="shared" si="120"/>
        <v>0</v>
      </c>
      <c r="AT138" s="172">
        <f t="shared" si="120"/>
        <v>0</v>
      </c>
      <c r="AU138" s="172">
        <f t="shared" si="120"/>
        <v>0</v>
      </c>
      <c r="AV138" s="172">
        <f t="shared" si="120"/>
        <v>0</v>
      </c>
      <c r="AW138" s="172">
        <f t="shared" si="120"/>
        <v>0</v>
      </c>
      <c r="AX138" s="172">
        <f t="shared" si="120"/>
        <v>0</v>
      </c>
      <c r="AY138" s="172">
        <f t="shared" si="120"/>
        <v>0</v>
      </c>
      <c r="AZ138" s="172">
        <f t="shared" si="120"/>
        <v>0</v>
      </c>
      <c r="BA138" s="172">
        <f t="shared" si="120"/>
        <v>0</v>
      </c>
      <c r="BB138" s="172">
        <f t="shared" si="120"/>
        <v>0</v>
      </c>
      <c r="BC138" s="172">
        <f t="shared" si="120"/>
        <v>0</v>
      </c>
      <c r="BD138" s="172">
        <f t="shared" si="120"/>
        <v>0</v>
      </c>
      <c r="BE138" s="172">
        <f t="shared" si="120"/>
        <v>0</v>
      </c>
      <c r="BF138" s="172">
        <f t="shared" si="120"/>
        <v>0</v>
      </c>
      <c r="BG138" s="172">
        <f t="shared" si="120"/>
        <v>0</v>
      </c>
      <c r="BH138" s="85"/>
      <c r="BI138" s="86"/>
      <c r="BJ138" s="86"/>
      <c r="BK138" s="86"/>
      <c r="BL138" s="86"/>
    </row>
    <row r="139" spans="1:64" ht="15.75" x14ac:dyDescent="0.25">
      <c r="A139" s="158"/>
      <c r="B139" s="158"/>
      <c r="C139" s="149"/>
      <c r="D139" s="150" t="s">
        <v>263</v>
      </c>
      <c r="E139" s="151">
        <f>SUM(E140:E144)</f>
        <v>33543.54</v>
      </c>
      <c r="F139" s="151">
        <f>SUM(F140:F145)</f>
        <v>1118.73</v>
      </c>
      <c r="G139" s="151">
        <f>SUM(G140:G145)</f>
        <v>1118.73</v>
      </c>
      <c r="H139" s="151">
        <f>SUM(H140:H144)</f>
        <v>0</v>
      </c>
      <c r="I139" s="151">
        <f>SUM(I140:I144)</f>
        <v>17343.54</v>
      </c>
      <c r="J139" s="151">
        <f>SUM(J140:J144)</f>
        <v>0</v>
      </c>
      <c r="K139" s="151">
        <f>SUM(K140:K144)</f>
        <v>0</v>
      </c>
      <c r="L139" s="152">
        <f>IF(BE139=0,SUM(U139+X139+AA139+AD139+AG139+AJ139+AM139+AP139+AS139+AV139+AY139+BB139),BE139)</f>
        <v>17343.54</v>
      </c>
      <c r="M139" s="152">
        <f t="shared" si="114"/>
        <v>0</v>
      </c>
      <c r="N139" s="152">
        <f>IF(BG139=0,SUM(W139+Z139+AC139+AF139+AI139+AL139+AO139+AR139+AU139+AX139+BA139+BD139),BG139)</f>
        <v>0</v>
      </c>
      <c r="O139" s="151">
        <f>SUM(O140:O145)</f>
        <v>0</v>
      </c>
      <c r="P139" s="151">
        <f>SUM(P140:P145)</f>
        <v>0</v>
      </c>
      <c r="Q139" s="151">
        <f>SUM(Q140:Q144)</f>
        <v>0</v>
      </c>
      <c r="R139" s="175">
        <f t="shared" si="117"/>
        <v>0.51704560699317959</v>
      </c>
      <c r="S139" s="175">
        <f>J139/F139</f>
        <v>0</v>
      </c>
      <c r="T139" s="175" t="e">
        <f t="shared" si="87"/>
        <v>#DIV/0!</v>
      </c>
      <c r="U139" s="151">
        <f t="shared" ref="U139:AA139" si="121">SUM(U140:U144)</f>
        <v>0</v>
      </c>
      <c r="V139" s="151">
        <f t="shared" si="121"/>
        <v>0</v>
      </c>
      <c r="W139" s="151">
        <f t="shared" si="121"/>
        <v>0</v>
      </c>
      <c r="X139" s="151">
        <f t="shared" si="121"/>
        <v>1621.62</v>
      </c>
      <c r="Y139" s="151">
        <f t="shared" si="121"/>
        <v>0</v>
      </c>
      <c r="Z139" s="151">
        <f t="shared" si="121"/>
        <v>0</v>
      </c>
      <c r="AA139" s="151">
        <f t="shared" si="121"/>
        <v>0</v>
      </c>
      <c r="AB139" s="151">
        <f>SUM(AB140:AB145)</f>
        <v>0</v>
      </c>
      <c r="AC139" s="151">
        <f t="shared" ref="AC139:BG139" si="122">SUM(AC140:AC144)</f>
        <v>0</v>
      </c>
      <c r="AD139" s="151">
        <f t="shared" si="122"/>
        <v>810.81</v>
      </c>
      <c r="AE139" s="151">
        <f t="shared" si="122"/>
        <v>0</v>
      </c>
      <c r="AF139" s="151">
        <f t="shared" si="122"/>
        <v>0</v>
      </c>
      <c r="AG139" s="151">
        <f t="shared" si="122"/>
        <v>13289.49</v>
      </c>
      <c r="AH139" s="151">
        <f t="shared" si="122"/>
        <v>0</v>
      </c>
      <c r="AI139" s="151">
        <f t="shared" si="122"/>
        <v>0</v>
      </c>
      <c r="AJ139" s="151">
        <f t="shared" si="122"/>
        <v>1621.62</v>
      </c>
      <c r="AK139" s="151">
        <f t="shared" si="122"/>
        <v>0</v>
      </c>
      <c r="AL139" s="151">
        <f t="shared" si="122"/>
        <v>0</v>
      </c>
      <c r="AM139" s="151">
        <f t="shared" si="122"/>
        <v>0</v>
      </c>
      <c r="AN139" s="151">
        <f t="shared" si="122"/>
        <v>0</v>
      </c>
      <c r="AO139" s="151">
        <f t="shared" si="122"/>
        <v>0</v>
      </c>
      <c r="AP139" s="151">
        <f t="shared" si="122"/>
        <v>0</v>
      </c>
      <c r="AQ139" s="151">
        <f t="shared" si="122"/>
        <v>0</v>
      </c>
      <c r="AR139" s="151">
        <f t="shared" si="122"/>
        <v>0</v>
      </c>
      <c r="AS139" s="151">
        <f t="shared" si="122"/>
        <v>0</v>
      </c>
      <c r="AT139" s="151">
        <f t="shared" si="122"/>
        <v>0</v>
      </c>
      <c r="AU139" s="151">
        <f t="shared" si="122"/>
        <v>0</v>
      </c>
      <c r="AV139" s="151">
        <f t="shared" si="122"/>
        <v>0</v>
      </c>
      <c r="AW139" s="151">
        <f t="shared" si="122"/>
        <v>0</v>
      </c>
      <c r="AX139" s="151">
        <f t="shared" si="122"/>
        <v>0</v>
      </c>
      <c r="AY139" s="151">
        <f t="shared" si="122"/>
        <v>0</v>
      </c>
      <c r="AZ139" s="151">
        <f t="shared" si="122"/>
        <v>0</v>
      </c>
      <c r="BA139" s="151">
        <f t="shared" si="122"/>
        <v>0</v>
      </c>
      <c r="BB139" s="151">
        <f t="shared" si="122"/>
        <v>0</v>
      </c>
      <c r="BC139" s="151">
        <f t="shared" si="122"/>
        <v>0</v>
      </c>
      <c r="BD139" s="151">
        <f t="shared" si="122"/>
        <v>0</v>
      </c>
      <c r="BE139" s="151">
        <f t="shared" si="122"/>
        <v>0</v>
      </c>
      <c r="BF139" s="151">
        <f t="shared" si="122"/>
        <v>0</v>
      </c>
      <c r="BG139" s="151">
        <f t="shared" si="122"/>
        <v>0</v>
      </c>
      <c r="BH139" s="154"/>
      <c r="BI139" s="155"/>
      <c r="BJ139" s="155"/>
      <c r="BK139" s="155"/>
      <c r="BL139" s="155"/>
    </row>
    <row r="140" spans="1:64" ht="15.75" customHeight="1" x14ac:dyDescent="0.25">
      <c r="A140" s="75"/>
      <c r="B140" s="75"/>
      <c r="C140" s="213" t="s">
        <v>211</v>
      </c>
      <c r="D140" s="218" t="s">
        <v>264</v>
      </c>
      <c r="E140" s="38">
        <f>3600+1800+1800+3600+3600+1800</f>
        <v>16200</v>
      </c>
      <c r="F140" s="38"/>
      <c r="G140" s="38"/>
      <c r="H140" s="178"/>
      <c r="I140" s="39"/>
      <c r="J140" s="39"/>
      <c r="K140" s="39"/>
      <c r="L140" s="26"/>
      <c r="M140" s="26"/>
      <c r="N140" s="26"/>
      <c r="O140" s="39"/>
      <c r="P140" s="39"/>
      <c r="Q140" s="39"/>
      <c r="R140" s="41"/>
      <c r="S140" s="41"/>
      <c r="T140" s="4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42"/>
      <c r="BI140" s="43"/>
      <c r="BJ140" s="43"/>
      <c r="BK140" s="43"/>
      <c r="BL140" s="43"/>
    </row>
    <row r="141" spans="1:64" ht="15.75" hidden="1" customHeight="1" x14ac:dyDescent="0.25">
      <c r="A141" s="75"/>
      <c r="B141" s="75"/>
      <c r="C141" s="203" t="s">
        <v>209</v>
      </c>
      <c r="D141" s="212" t="s">
        <v>265</v>
      </c>
      <c r="E141" s="38"/>
      <c r="F141" s="38"/>
      <c r="G141" s="38"/>
      <c r="H141" s="178"/>
      <c r="I141" s="39"/>
      <c r="J141" s="39"/>
      <c r="K141" s="39"/>
      <c r="L141" s="26"/>
      <c r="M141" s="26"/>
      <c r="N141" s="26"/>
      <c r="O141" s="39"/>
      <c r="P141" s="39"/>
      <c r="Q141" s="39"/>
      <c r="R141" s="41"/>
      <c r="S141" s="41"/>
      <c r="T141" s="4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42"/>
      <c r="BI141" s="43"/>
      <c r="BJ141" s="43"/>
      <c r="BK141" s="43"/>
      <c r="BL141" s="43"/>
    </row>
    <row r="142" spans="1:64" ht="15.75" hidden="1" customHeight="1" x14ac:dyDescent="0.25">
      <c r="A142" s="75"/>
      <c r="B142" s="75"/>
      <c r="C142" s="203" t="s">
        <v>34</v>
      </c>
      <c r="D142" s="212" t="s">
        <v>159</v>
      </c>
      <c r="E142" s="38"/>
      <c r="F142" s="38"/>
      <c r="G142" s="38"/>
      <c r="H142" s="130"/>
      <c r="I142" s="39">
        <f t="shared" ref="I142:K145" si="123">U142+X142+AA142+AD142+AG142+AJ142+AM142+AP142+AS142+AV142+AY142+BB142</f>
        <v>0</v>
      </c>
      <c r="J142" s="39">
        <f t="shared" si="123"/>
        <v>0</v>
      </c>
      <c r="K142" s="39">
        <f t="shared" si="123"/>
        <v>0</v>
      </c>
      <c r="L142" s="39">
        <f t="shared" ref="L142:N154" si="124">IF(BE142=0,SUM(U142+X142+AA142+AD142+AG142+AJ142+AM142+AP142+AS142+AV142+AY142+BB142),BE142)</f>
        <v>0</v>
      </c>
      <c r="M142" s="39">
        <f t="shared" si="124"/>
        <v>0</v>
      </c>
      <c r="N142" s="39">
        <f t="shared" si="124"/>
        <v>0</v>
      </c>
      <c r="O142" s="39">
        <f t="shared" ref="O142:P145" si="125">E142-I142</f>
        <v>0</v>
      </c>
      <c r="P142" s="39">
        <f t="shared" si="125"/>
        <v>0</v>
      </c>
      <c r="Q142" s="39">
        <f t="shared" ref="Q142:Q145" si="126">H142-K142</f>
        <v>0</v>
      </c>
      <c r="R142" s="41" t="e">
        <f t="shared" si="117"/>
        <v>#DIV/0!</v>
      </c>
      <c r="S142" s="41" t="e">
        <f t="shared" si="117"/>
        <v>#DIV/0!</v>
      </c>
      <c r="T142" s="41" t="e">
        <f t="shared" ref="T142:T145" si="127">K142/H142</f>
        <v>#DIV/0!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42"/>
      <c r="BI142" s="43"/>
      <c r="BJ142" s="43"/>
      <c r="BK142" s="43"/>
      <c r="BL142" s="43"/>
    </row>
    <row r="143" spans="1:64" ht="15.75" customHeight="1" x14ac:dyDescent="0.25">
      <c r="A143" s="75"/>
      <c r="B143" s="75"/>
      <c r="C143" s="205" t="s">
        <v>266</v>
      </c>
      <c r="D143" s="204" t="s">
        <v>267</v>
      </c>
      <c r="E143" s="38">
        <f>5254.16+7224.52</f>
        <v>12478.68</v>
      </c>
      <c r="F143" s="38"/>
      <c r="G143" s="38"/>
      <c r="H143" s="130"/>
      <c r="I143" s="39">
        <f t="shared" si="123"/>
        <v>12478.68</v>
      </c>
      <c r="J143" s="39">
        <f t="shared" si="123"/>
        <v>0</v>
      </c>
      <c r="K143" s="39">
        <f t="shared" si="123"/>
        <v>0</v>
      </c>
      <c r="L143" s="39">
        <f t="shared" si="124"/>
        <v>12478.68</v>
      </c>
      <c r="M143" s="39">
        <f t="shared" si="124"/>
        <v>0</v>
      </c>
      <c r="N143" s="39">
        <f t="shared" si="124"/>
        <v>0</v>
      </c>
      <c r="O143" s="39">
        <f t="shared" si="125"/>
        <v>0</v>
      </c>
      <c r="P143" s="39">
        <f t="shared" si="125"/>
        <v>0</v>
      </c>
      <c r="Q143" s="39">
        <f t="shared" si="126"/>
        <v>0</v>
      </c>
      <c r="R143" s="41">
        <f t="shared" si="117"/>
        <v>1</v>
      </c>
      <c r="S143" s="41" t="e">
        <f t="shared" si="117"/>
        <v>#DIV/0!</v>
      </c>
      <c r="T143" s="41" t="e">
        <f t="shared" si="127"/>
        <v>#DIV/0!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65">
        <f>5254.16+7224.52</f>
        <v>12478.68</v>
      </c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42"/>
      <c r="BI143" s="43"/>
      <c r="BJ143" s="43"/>
      <c r="BK143" s="43"/>
      <c r="BL143" s="43"/>
    </row>
    <row r="144" spans="1:64" ht="15.75" customHeight="1" x14ac:dyDescent="0.25">
      <c r="A144" s="75" t="s">
        <v>260</v>
      </c>
      <c r="B144" s="75"/>
      <c r="C144" s="205" t="s">
        <v>211</v>
      </c>
      <c r="D144" s="204" t="s">
        <v>268</v>
      </c>
      <c r="E144" s="38">
        <v>4864.8599999999997</v>
      </c>
      <c r="F144" s="38"/>
      <c r="G144" s="38"/>
      <c r="H144" s="130"/>
      <c r="I144" s="39">
        <f t="shared" si="123"/>
        <v>4864.8599999999997</v>
      </c>
      <c r="J144" s="39">
        <f t="shared" si="123"/>
        <v>0</v>
      </c>
      <c r="K144" s="39">
        <f t="shared" si="123"/>
        <v>0</v>
      </c>
      <c r="L144" s="39">
        <f t="shared" si="124"/>
        <v>4864.8599999999997</v>
      </c>
      <c r="M144" s="39">
        <f t="shared" si="124"/>
        <v>0</v>
      </c>
      <c r="N144" s="39">
        <f t="shared" si="124"/>
        <v>0</v>
      </c>
      <c r="O144" s="39">
        <f t="shared" si="125"/>
        <v>0</v>
      </c>
      <c r="P144" s="39">
        <f t="shared" si="125"/>
        <v>0</v>
      </c>
      <c r="Q144" s="39">
        <f t="shared" si="126"/>
        <v>0</v>
      </c>
      <c r="R144" s="41">
        <f t="shared" si="117"/>
        <v>1</v>
      </c>
      <c r="S144" s="41" t="e">
        <f t="shared" si="117"/>
        <v>#DIV/0!</v>
      </c>
      <c r="T144" s="41" t="e">
        <f t="shared" si="127"/>
        <v>#DIV/0!</v>
      </c>
      <c r="U144" s="37"/>
      <c r="V144" s="37"/>
      <c r="W144" s="37"/>
      <c r="X144" s="37">
        <v>1621.62</v>
      </c>
      <c r="Y144" s="37"/>
      <c r="Z144" s="37"/>
      <c r="AA144" s="37"/>
      <c r="AB144" s="37"/>
      <c r="AC144" s="37"/>
      <c r="AD144" s="37">
        <v>810.81</v>
      </c>
      <c r="AE144" s="37"/>
      <c r="AF144" s="37"/>
      <c r="AG144" s="37">
        <v>810.81</v>
      </c>
      <c r="AH144" s="37"/>
      <c r="AI144" s="37"/>
      <c r="AJ144" s="37">
        <f>810.81+810.81</f>
        <v>1621.62</v>
      </c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42"/>
      <c r="BI144" s="43"/>
      <c r="BJ144" s="43"/>
      <c r="BK144" s="43"/>
      <c r="BL144" s="43"/>
    </row>
    <row r="145" spans="1:64" ht="15.75" customHeight="1" x14ac:dyDescent="0.25">
      <c r="A145" s="75"/>
      <c r="B145" s="75"/>
      <c r="C145" s="205" t="s">
        <v>165</v>
      </c>
      <c r="D145" s="204" t="s">
        <v>269</v>
      </c>
      <c r="E145" s="38"/>
      <c r="F145" s="76">
        <f>177+67.47+108+766.26</f>
        <v>1118.73</v>
      </c>
      <c r="G145" s="76">
        <v>1118.73</v>
      </c>
      <c r="H145" s="130"/>
      <c r="I145" s="39">
        <f t="shared" si="123"/>
        <v>0</v>
      </c>
      <c r="J145" s="39">
        <f t="shared" si="123"/>
        <v>0</v>
      </c>
      <c r="K145" s="39">
        <f t="shared" si="123"/>
        <v>0</v>
      </c>
      <c r="L145" s="39">
        <f t="shared" si="124"/>
        <v>0</v>
      </c>
      <c r="M145" s="39">
        <f t="shared" si="124"/>
        <v>0</v>
      </c>
      <c r="N145" s="39">
        <f t="shared" si="124"/>
        <v>0</v>
      </c>
      <c r="O145" s="39">
        <f t="shared" si="125"/>
        <v>0</v>
      </c>
      <c r="P145" s="39">
        <f>F145-J145-G145</f>
        <v>0</v>
      </c>
      <c r="Q145" s="39">
        <f t="shared" si="126"/>
        <v>0</v>
      </c>
      <c r="R145" s="41" t="e">
        <f t="shared" si="117"/>
        <v>#DIV/0!</v>
      </c>
      <c r="S145" s="41">
        <f t="shared" si="117"/>
        <v>0</v>
      </c>
      <c r="T145" s="41" t="e">
        <f t="shared" si="127"/>
        <v>#DIV/0!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42"/>
      <c r="BI145" s="43"/>
      <c r="BJ145" s="43"/>
      <c r="BK145" s="43"/>
      <c r="BL145" s="43"/>
    </row>
    <row r="146" spans="1:64" ht="15.75" x14ac:dyDescent="0.25">
      <c r="A146" s="158"/>
      <c r="B146" s="158"/>
      <c r="C146" s="149"/>
      <c r="D146" s="150" t="s">
        <v>270</v>
      </c>
      <c r="E146" s="151">
        <f t="shared" ref="E146:K146" si="128">SUM(E147:E152)</f>
        <v>0</v>
      </c>
      <c r="F146" s="151">
        <f t="shared" si="128"/>
        <v>929.89</v>
      </c>
      <c r="G146" s="151"/>
      <c r="H146" s="151">
        <f t="shared" si="128"/>
        <v>0</v>
      </c>
      <c r="I146" s="151">
        <f t="shared" si="128"/>
        <v>0</v>
      </c>
      <c r="J146" s="151">
        <f t="shared" si="128"/>
        <v>0</v>
      </c>
      <c r="K146" s="151">
        <f t="shared" si="128"/>
        <v>0</v>
      </c>
      <c r="L146" s="174">
        <f t="shared" si="124"/>
        <v>0</v>
      </c>
      <c r="M146" s="174">
        <f t="shared" si="124"/>
        <v>0</v>
      </c>
      <c r="N146" s="174">
        <f t="shared" si="124"/>
        <v>0</v>
      </c>
      <c r="O146" s="151">
        <f>SUM(O147:O152)</f>
        <v>0</v>
      </c>
      <c r="P146" s="151">
        <f>SUM(P147:P152)</f>
        <v>929.89</v>
      </c>
      <c r="Q146" s="151">
        <f>SUM(Q147:Q152)</f>
        <v>0</v>
      </c>
      <c r="R146" s="175" t="e">
        <f t="shared" si="117"/>
        <v>#DIV/0!</v>
      </c>
      <c r="S146" s="175">
        <f t="shared" si="117"/>
        <v>0</v>
      </c>
      <c r="T146" s="175" t="e">
        <f>K146/H146</f>
        <v>#DIV/0!</v>
      </c>
      <c r="U146" s="151">
        <f t="shared" ref="U146:BG146" si="129">SUM(U147:U152)</f>
        <v>0</v>
      </c>
      <c r="V146" s="151">
        <f t="shared" si="129"/>
        <v>0</v>
      </c>
      <c r="W146" s="151">
        <f t="shared" si="129"/>
        <v>0</v>
      </c>
      <c r="X146" s="151">
        <f t="shared" si="129"/>
        <v>0</v>
      </c>
      <c r="Y146" s="151">
        <f t="shared" si="129"/>
        <v>0</v>
      </c>
      <c r="Z146" s="151">
        <f t="shared" si="129"/>
        <v>0</v>
      </c>
      <c r="AA146" s="151">
        <f t="shared" si="129"/>
        <v>0</v>
      </c>
      <c r="AB146" s="151">
        <f t="shared" si="129"/>
        <v>0</v>
      </c>
      <c r="AC146" s="151">
        <f t="shared" si="129"/>
        <v>0</v>
      </c>
      <c r="AD146" s="151">
        <f t="shared" si="129"/>
        <v>0</v>
      </c>
      <c r="AE146" s="151">
        <f t="shared" si="129"/>
        <v>0</v>
      </c>
      <c r="AF146" s="151">
        <f t="shared" si="129"/>
        <v>0</v>
      </c>
      <c r="AG146" s="151">
        <f t="shared" si="129"/>
        <v>0</v>
      </c>
      <c r="AH146" s="151">
        <f t="shared" si="129"/>
        <v>0</v>
      </c>
      <c r="AI146" s="151">
        <f t="shared" si="129"/>
        <v>0</v>
      </c>
      <c r="AJ146" s="151">
        <f t="shared" si="129"/>
        <v>0</v>
      </c>
      <c r="AK146" s="151">
        <f t="shared" si="129"/>
        <v>0</v>
      </c>
      <c r="AL146" s="151">
        <f t="shared" si="129"/>
        <v>0</v>
      </c>
      <c r="AM146" s="151">
        <f t="shared" si="129"/>
        <v>0</v>
      </c>
      <c r="AN146" s="151">
        <f t="shared" si="129"/>
        <v>0</v>
      </c>
      <c r="AO146" s="151">
        <f t="shared" si="129"/>
        <v>0</v>
      </c>
      <c r="AP146" s="151">
        <f t="shared" si="129"/>
        <v>0</v>
      </c>
      <c r="AQ146" s="151">
        <f t="shared" si="129"/>
        <v>0</v>
      </c>
      <c r="AR146" s="151">
        <f t="shared" si="129"/>
        <v>0</v>
      </c>
      <c r="AS146" s="151">
        <f t="shared" si="129"/>
        <v>0</v>
      </c>
      <c r="AT146" s="151">
        <f t="shared" si="129"/>
        <v>0</v>
      </c>
      <c r="AU146" s="151">
        <f t="shared" si="129"/>
        <v>0</v>
      </c>
      <c r="AV146" s="151">
        <f t="shared" si="129"/>
        <v>0</v>
      </c>
      <c r="AW146" s="151">
        <f t="shared" si="129"/>
        <v>0</v>
      </c>
      <c r="AX146" s="151">
        <f t="shared" si="129"/>
        <v>0</v>
      </c>
      <c r="AY146" s="151">
        <f t="shared" si="129"/>
        <v>0</v>
      </c>
      <c r="AZ146" s="151">
        <f t="shared" si="129"/>
        <v>0</v>
      </c>
      <c r="BA146" s="151">
        <f t="shared" si="129"/>
        <v>0</v>
      </c>
      <c r="BB146" s="151">
        <f t="shared" si="129"/>
        <v>0</v>
      </c>
      <c r="BC146" s="151">
        <f t="shared" si="129"/>
        <v>0</v>
      </c>
      <c r="BD146" s="151">
        <f t="shared" si="129"/>
        <v>0</v>
      </c>
      <c r="BE146" s="151">
        <f t="shared" si="129"/>
        <v>0</v>
      </c>
      <c r="BF146" s="151">
        <f t="shared" si="129"/>
        <v>0</v>
      </c>
      <c r="BG146" s="151">
        <f t="shared" si="129"/>
        <v>0</v>
      </c>
      <c r="BH146" s="154"/>
      <c r="BI146" s="155"/>
      <c r="BJ146" s="155"/>
      <c r="BK146" s="155"/>
      <c r="BL146" s="155"/>
    </row>
    <row r="147" spans="1:64" ht="15.75" customHeight="1" x14ac:dyDescent="0.25">
      <c r="A147" s="75"/>
      <c r="B147" s="73" t="s">
        <v>271</v>
      </c>
      <c r="C147" s="203" t="s">
        <v>175</v>
      </c>
      <c r="D147" s="219" t="s">
        <v>272</v>
      </c>
      <c r="E147" s="38"/>
      <c r="F147" s="76">
        <v>929.89</v>
      </c>
      <c r="G147" s="76"/>
      <c r="H147" s="130"/>
      <c r="I147" s="39">
        <f t="shared" ref="I147:K151" si="130">U147+X147+AA147+AD147+AG147+AJ147+AM147+AP147+AS147+AV147+AY147+BB147</f>
        <v>0</v>
      </c>
      <c r="J147" s="39">
        <f t="shared" si="130"/>
        <v>0</v>
      </c>
      <c r="K147" s="39">
        <f t="shared" si="130"/>
        <v>0</v>
      </c>
      <c r="L147" s="39">
        <f t="shared" si="124"/>
        <v>0</v>
      </c>
      <c r="M147" s="39">
        <f t="shared" si="124"/>
        <v>0</v>
      </c>
      <c r="N147" s="39">
        <f t="shared" si="124"/>
        <v>0</v>
      </c>
      <c r="O147" s="39">
        <f>E147-I147</f>
        <v>0</v>
      </c>
      <c r="P147" s="39">
        <f>F147-J147</f>
        <v>929.89</v>
      </c>
      <c r="Q147" s="39">
        <f t="shared" ref="Q147:Q151" si="131">H147-K147</f>
        <v>0</v>
      </c>
      <c r="R147" s="41" t="e">
        <f t="shared" si="117"/>
        <v>#DIV/0!</v>
      </c>
      <c r="S147" s="41">
        <f t="shared" si="117"/>
        <v>0</v>
      </c>
      <c r="T147" s="41" t="e">
        <f>K147/H147</f>
        <v>#DIV/0!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42"/>
      <c r="BI147" s="43"/>
      <c r="BJ147" s="43"/>
      <c r="BK147" s="43"/>
      <c r="BL147" s="43"/>
    </row>
    <row r="148" spans="1:64" ht="15.75" hidden="1" customHeight="1" x14ac:dyDescent="0.25">
      <c r="A148" s="75"/>
      <c r="B148" s="75"/>
      <c r="C148" s="35" t="s">
        <v>175</v>
      </c>
      <c r="D148" s="137" t="s">
        <v>273</v>
      </c>
      <c r="E148" s="38"/>
      <c r="F148" s="38"/>
      <c r="G148" s="38"/>
      <c r="H148" s="130"/>
      <c r="I148" s="39">
        <f t="shared" si="130"/>
        <v>0</v>
      </c>
      <c r="J148" s="39">
        <f t="shared" si="130"/>
        <v>0</v>
      </c>
      <c r="K148" s="39">
        <f t="shared" si="130"/>
        <v>0</v>
      </c>
      <c r="L148" s="39">
        <f t="shared" si="124"/>
        <v>0</v>
      </c>
      <c r="M148" s="39">
        <f t="shared" si="124"/>
        <v>0</v>
      </c>
      <c r="N148" s="39">
        <f t="shared" si="124"/>
        <v>0</v>
      </c>
      <c r="O148" s="39">
        <f>E148-I148</f>
        <v>0</v>
      </c>
      <c r="P148" s="39">
        <f>F148-J148</f>
        <v>0</v>
      </c>
      <c r="Q148" s="39">
        <f t="shared" si="131"/>
        <v>0</v>
      </c>
      <c r="R148" s="41" t="e">
        <f t="shared" si="117"/>
        <v>#DIV/0!</v>
      </c>
      <c r="S148" s="41" t="e">
        <f t="shared" si="117"/>
        <v>#DIV/0!</v>
      </c>
      <c r="T148" s="41" t="e">
        <f>K148/H148</f>
        <v>#DIV/0!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42"/>
      <c r="BI148" s="43"/>
      <c r="BJ148" s="43"/>
      <c r="BK148" s="43"/>
      <c r="BL148" s="43"/>
    </row>
    <row r="149" spans="1:64" ht="15.75" hidden="1" customHeight="1" x14ac:dyDescent="0.25">
      <c r="A149" s="75"/>
      <c r="B149" s="75"/>
      <c r="C149" s="135" t="s">
        <v>107</v>
      </c>
      <c r="D149" s="136" t="s">
        <v>274</v>
      </c>
      <c r="E149" s="38"/>
      <c r="F149" s="38"/>
      <c r="G149" s="38"/>
      <c r="H149" s="130"/>
      <c r="I149" s="39">
        <f t="shared" si="130"/>
        <v>0</v>
      </c>
      <c r="J149" s="39">
        <f t="shared" si="130"/>
        <v>0</v>
      </c>
      <c r="K149" s="39">
        <f t="shared" si="130"/>
        <v>0</v>
      </c>
      <c r="L149" s="39">
        <f t="shared" si="124"/>
        <v>0</v>
      </c>
      <c r="M149" s="39">
        <f t="shared" si="124"/>
        <v>0</v>
      </c>
      <c r="N149" s="39">
        <f t="shared" si="124"/>
        <v>0</v>
      </c>
      <c r="O149" s="39">
        <f t="shared" ref="O149:P151" si="132">E149-I149</f>
        <v>0</v>
      </c>
      <c r="P149" s="39">
        <f t="shared" si="132"/>
        <v>0</v>
      </c>
      <c r="Q149" s="39">
        <f t="shared" si="131"/>
        <v>0</v>
      </c>
      <c r="R149" s="41" t="e">
        <f t="shared" si="117"/>
        <v>#DIV/0!</v>
      </c>
      <c r="S149" s="41" t="e">
        <f t="shared" si="117"/>
        <v>#DIV/0!</v>
      </c>
      <c r="T149" s="41" t="e">
        <f t="shared" ref="T149:T154" si="133">K149/H149</f>
        <v>#DIV/0!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42"/>
      <c r="BI149" s="43"/>
      <c r="BJ149" s="43"/>
      <c r="BK149" s="43"/>
      <c r="BL149" s="43"/>
    </row>
    <row r="150" spans="1:64" ht="15.75" hidden="1" customHeight="1" x14ac:dyDescent="0.25">
      <c r="A150" s="75"/>
      <c r="B150" s="75"/>
      <c r="C150" s="135" t="s">
        <v>275</v>
      </c>
      <c r="D150" s="136" t="s">
        <v>274</v>
      </c>
      <c r="E150" s="38"/>
      <c r="F150" s="38"/>
      <c r="G150" s="38"/>
      <c r="H150" s="130"/>
      <c r="I150" s="39">
        <f t="shared" si="130"/>
        <v>0</v>
      </c>
      <c r="J150" s="39">
        <f t="shared" si="130"/>
        <v>0</v>
      </c>
      <c r="K150" s="39">
        <f t="shared" si="130"/>
        <v>0</v>
      </c>
      <c r="L150" s="39">
        <f t="shared" si="124"/>
        <v>0</v>
      </c>
      <c r="M150" s="39">
        <f t="shared" si="124"/>
        <v>0</v>
      </c>
      <c r="N150" s="39">
        <f t="shared" si="124"/>
        <v>0</v>
      </c>
      <c r="O150" s="39">
        <f t="shared" si="132"/>
        <v>0</v>
      </c>
      <c r="P150" s="39">
        <f t="shared" si="132"/>
        <v>0</v>
      </c>
      <c r="Q150" s="39">
        <f t="shared" si="131"/>
        <v>0</v>
      </c>
      <c r="R150" s="41" t="e">
        <f t="shared" si="117"/>
        <v>#DIV/0!</v>
      </c>
      <c r="S150" s="41" t="e">
        <f t="shared" si="117"/>
        <v>#DIV/0!</v>
      </c>
      <c r="T150" s="41" t="e">
        <f t="shared" si="133"/>
        <v>#DIV/0!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42"/>
      <c r="BI150" s="43"/>
      <c r="BJ150" s="43"/>
      <c r="BK150" s="43"/>
      <c r="BL150" s="43"/>
    </row>
    <row r="151" spans="1:64" ht="15.75" hidden="1" customHeight="1" x14ac:dyDescent="0.25">
      <c r="A151" s="75"/>
      <c r="B151" s="75"/>
      <c r="C151" s="135" t="s">
        <v>86</v>
      </c>
      <c r="D151" s="136" t="s">
        <v>274</v>
      </c>
      <c r="E151" s="38"/>
      <c r="F151" s="38"/>
      <c r="G151" s="38"/>
      <c r="H151" s="130"/>
      <c r="I151" s="39">
        <f t="shared" si="130"/>
        <v>0</v>
      </c>
      <c r="J151" s="39">
        <f t="shared" si="130"/>
        <v>0</v>
      </c>
      <c r="K151" s="39">
        <f t="shared" si="130"/>
        <v>0</v>
      </c>
      <c r="L151" s="39">
        <f t="shared" si="124"/>
        <v>0</v>
      </c>
      <c r="M151" s="39">
        <f t="shared" si="124"/>
        <v>0</v>
      </c>
      <c r="N151" s="39">
        <f t="shared" si="124"/>
        <v>0</v>
      </c>
      <c r="O151" s="39">
        <f t="shared" si="132"/>
        <v>0</v>
      </c>
      <c r="P151" s="39">
        <f t="shared" si="132"/>
        <v>0</v>
      </c>
      <c r="Q151" s="39">
        <f t="shared" si="131"/>
        <v>0</v>
      </c>
      <c r="R151" s="41" t="e">
        <f t="shared" si="117"/>
        <v>#DIV/0!</v>
      </c>
      <c r="S151" s="41" t="e">
        <f t="shared" si="117"/>
        <v>#DIV/0!</v>
      </c>
      <c r="T151" s="41" t="e">
        <f t="shared" si="133"/>
        <v>#DIV/0!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42"/>
      <c r="BI151" s="43"/>
      <c r="BJ151" s="43"/>
      <c r="BK151" s="43"/>
      <c r="BL151" s="43"/>
    </row>
    <row r="152" spans="1:64" ht="15.75" hidden="1" customHeight="1" x14ac:dyDescent="0.25">
      <c r="A152" s="75"/>
      <c r="B152" s="75"/>
      <c r="C152" s="35" t="s">
        <v>248</v>
      </c>
      <c r="D152" s="77" t="s">
        <v>276</v>
      </c>
      <c r="E152" s="38"/>
      <c r="F152" s="38"/>
      <c r="G152" s="38"/>
      <c r="H152" s="179"/>
      <c r="I152" s="39">
        <f>U152+X152+AA152+AD152+AG152+AJ152+AM152+AP152+AS152+AV152+AY152+BB152</f>
        <v>0</v>
      </c>
      <c r="J152" s="39">
        <f>V152+Y152+AB152+AE152+AH152+AK152+AN152+AQ152+AT152+AW152+AZ152+BC152</f>
        <v>0</v>
      </c>
      <c r="K152" s="39">
        <f>W152+Z152+AC152+AF152+AI152+AL152+AO152+AR152+AU152+AX152+BA152+BD152</f>
        <v>0</v>
      </c>
      <c r="L152" s="39">
        <f t="shared" si="124"/>
        <v>0</v>
      </c>
      <c r="M152" s="39">
        <f t="shared" si="124"/>
        <v>0</v>
      </c>
      <c r="N152" s="39">
        <f t="shared" si="124"/>
        <v>0</v>
      </c>
      <c r="O152" s="39">
        <f>E152-I152</f>
        <v>0</v>
      </c>
      <c r="P152" s="39">
        <f>F152-J152</f>
        <v>0</v>
      </c>
      <c r="Q152" s="39">
        <f>H152-K152</f>
        <v>0</v>
      </c>
      <c r="R152" s="41" t="e">
        <f t="shared" ref="R152:S154" si="134">I152/E152</f>
        <v>#DIV/0!</v>
      </c>
      <c r="S152" s="41" t="e">
        <f t="shared" si="134"/>
        <v>#DIV/0!</v>
      </c>
      <c r="T152" s="41" t="e">
        <f t="shared" si="133"/>
        <v>#DIV/0!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42"/>
      <c r="BI152" s="43"/>
      <c r="BJ152" s="43"/>
      <c r="BK152" s="43"/>
      <c r="BL152" s="43"/>
    </row>
    <row r="153" spans="1:64" ht="15.75" x14ac:dyDescent="0.25">
      <c r="A153" s="180"/>
      <c r="B153" s="180"/>
      <c r="C153" s="181"/>
      <c r="D153" s="182" t="s">
        <v>277</v>
      </c>
      <c r="E153" s="183">
        <f>SUM(E154:E154)</f>
        <v>0</v>
      </c>
      <c r="F153" s="183">
        <f>SUM(F154:F154)</f>
        <v>8583.0400000000009</v>
      </c>
      <c r="G153" s="183"/>
      <c r="H153" s="183">
        <f>SUM(H154:H154)</f>
        <v>0</v>
      </c>
      <c r="I153" s="183">
        <f>SUM(I154:I154)</f>
        <v>0</v>
      </c>
      <c r="J153" s="183">
        <f>SUM(J154:J154)</f>
        <v>6316</v>
      </c>
      <c r="K153" s="183">
        <f>SUM(K154:K154)</f>
        <v>0</v>
      </c>
      <c r="L153" s="157">
        <f t="shared" si="124"/>
        <v>0</v>
      </c>
      <c r="M153" s="157">
        <f t="shared" si="124"/>
        <v>6316</v>
      </c>
      <c r="N153" s="157">
        <f t="shared" si="124"/>
        <v>0</v>
      </c>
      <c r="O153" s="183">
        <f>SUM(O154:O154)</f>
        <v>0</v>
      </c>
      <c r="P153" s="183">
        <f>SUM(P154:P154)</f>
        <v>2267.0400000000009</v>
      </c>
      <c r="Q153" s="183">
        <f>SUM(Q154:Q154)</f>
        <v>0</v>
      </c>
      <c r="R153" s="184" t="e">
        <f t="shared" si="134"/>
        <v>#DIV/0!</v>
      </c>
      <c r="S153" s="184">
        <f t="shared" si="134"/>
        <v>0.73586980836626648</v>
      </c>
      <c r="T153" s="184" t="e">
        <f t="shared" si="133"/>
        <v>#DIV/0!</v>
      </c>
      <c r="U153" s="183">
        <f>SUM(U154:U154)</f>
        <v>0</v>
      </c>
      <c r="V153" s="183">
        <f>SUM(V154:V154)</f>
        <v>0</v>
      </c>
      <c r="W153" s="183">
        <f>SUM(W154:W154)</f>
        <v>0</v>
      </c>
      <c r="X153" s="183">
        <f>SUM(X154:X154)</f>
        <v>0</v>
      </c>
      <c r="Y153" s="183">
        <f>SUM(Y154:Y154)</f>
        <v>6316</v>
      </c>
      <c r="Z153" s="183">
        <f>SUM(Z154:Z154)</f>
        <v>0</v>
      </c>
      <c r="AA153" s="183">
        <f>SUM(AA154:AA154)</f>
        <v>0</v>
      </c>
      <c r="AB153" s="183">
        <f>SUM(AB154:AB154)</f>
        <v>0</v>
      </c>
      <c r="AC153" s="183">
        <f>SUM(AC154:AC154)</f>
        <v>0</v>
      </c>
      <c r="AD153" s="183">
        <f>SUM(AD154:AD154)</f>
        <v>0</v>
      </c>
      <c r="AE153" s="183">
        <f>SUM(AE154:AE154)</f>
        <v>0</v>
      </c>
      <c r="AF153" s="183">
        <f>SUM(AF154:AF154)</f>
        <v>0</v>
      </c>
      <c r="AG153" s="183">
        <f>SUM(AG154:AG154)</f>
        <v>0</v>
      </c>
      <c r="AH153" s="183">
        <f>SUM(AH154:AH154)</f>
        <v>0</v>
      </c>
      <c r="AI153" s="183">
        <f>SUM(AI154:AI154)</f>
        <v>0</v>
      </c>
      <c r="AJ153" s="183">
        <f>SUM(AJ154:AJ154)</f>
        <v>0</v>
      </c>
      <c r="AK153" s="183">
        <f>SUM(AK154:AK154)</f>
        <v>0</v>
      </c>
      <c r="AL153" s="183">
        <f>SUM(AL154:AL154)</f>
        <v>0</v>
      </c>
      <c r="AM153" s="183">
        <f>SUM(AM154:AM154)</f>
        <v>0</v>
      </c>
      <c r="AN153" s="183">
        <f>SUM(AN154:AN154)</f>
        <v>0</v>
      </c>
      <c r="AO153" s="183">
        <f>SUM(AO154:AO154)</f>
        <v>0</v>
      </c>
      <c r="AP153" s="183">
        <f>SUM(AP154:AP154)</f>
        <v>0</v>
      </c>
      <c r="AQ153" s="183">
        <f>SUM(AQ154:AQ154)</f>
        <v>0</v>
      </c>
      <c r="AR153" s="183">
        <f>SUM(AR154:AR154)</f>
        <v>0</v>
      </c>
      <c r="AS153" s="183">
        <f>SUM(AS154:AS154)</f>
        <v>0</v>
      </c>
      <c r="AT153" s="183">
        <f>SUM(AT154:AT154)</f>
        <v>0</v>
      </c>
      <c r="AU153" s="183">
        <f>SUM(AU154:AU154)</f>
        <v>0</v>
      </c>
      <c r="AV153" s="183">
        <f>SUM(AV154:AV154)</f>
        <v>0</v>
      </c>
      <c r="AW153" s="183">
        <f>SUM(AW154:AW154)</f>
        <v>0</v>
      </c>
      <c r="AX153" s="183">
        <f>SUM(AX154:AX154)</f>
        <v>0</v>
      </c>
      <c r="AY153" s="183">
        <f>SUM(AY154:AY154)</f>
        <v>0</v>
      </c>
      <c r="AZ153" s="183">
        <f>SUM(AZ154:AZ154)</f>
        <v>0</v>
      </c>
      <c r="BA153" s="183">
        <f>SUM(BA154:BA154)</f>
        <v>0</v>
      </c>
      <c r="BB153" s="183">
        <f>SUM(BB154:BB154)</f>
        <v>0</v>
      </c>
      <c r="BC153" s="183">
        <f>SUM(BC154:BC154)</f>
        <v>0</v>
      </c>
      <c r="BD153" s="183">
        <f>SUM(BD154:BD154)</f>
        <v>0</v>
      </c>
      <c r="BE153" s="183">
        <f>SUM(BE154:BE154)</f>
        <v>0</v>
      </c>
      <c r="BF153" s="183">
        <f>SUM(BF154:BF154)</f>
        <v>0</v>
      </c>
      <c r="BG153" s="183">
        <f>SUM(BG154:BG154)</f>
        <v>0</v>
      </c>
      <c r="BH153" s="154"/>
      <c r="BI153" s="155"/>
      <c r="BJ153" s="155"/>
      <c r="BK153" s="155"/>
      <c r="BL153" s="155"/>
    </row>
    <row r="154" spans="1:64" ht="15.75" customHeight="1" x14ac:dyDescent="0.25">
      <c r="A154" s="75"/>
      <c r="B154" s="73" t="s">
        <v>278</v>
      </c>
      <c r="C154" s="205" t="s">
        <v>182</v>
      </c>
      <c r="D154" s="204" t="s">
        <v>279</v>
      </c>
      <c r="E154" s="38"/>
      <c r="F154" s="76">
        <f>558+3202+552+358.04+2004+780+675+454</f>
        <v>8583.0400000000009</v>
      </c>
      <c r="G154" s="76"/>
      <c r="H154" s="179"/>
      <c r="I154" s="39">
        <f t="shared" ref="I154:K154" si="135">U154+X154+AA154+AD154+AG154+AJ154+AM154+AP154+AS154+AV154+AY154+BB154</f>
        <v>0</v>
      </c>
      <c r="J154" s="39">
        <f t="shared" si="135"/>
        <v>6316</v>
      </c>
      <c r="K154" s="39">
        <f t="shared" si="135"/>
        <v>0</v>
      </c>
      <c r="L154" s="39">
        <f t="shared" si="124"/>
        <v>0</v>
      </c>
      <c r="M154" s="39">
        <f t="shared" si="124"/>
        <v>6316</v>
      </c>
      <c r="N154" s="39">
        <f t="shared" si="124"/>
        <v>0</v>
      </c>
      <c r="O154" s="39">
        <f t="shared" ref="O154:P154" si="136">E154-I154</f>
        <v>0</v>
      </c>
      <c r="P154" s="39">
        <f t="shared" si="136"/>
        <v>2267.0400000000009</v>
      </c>
      <c r="Q154" s="39">
        <f t="shared" ref="Q154" si="137">H154-K154</f>
        <v>0</v>
      </c>
      <c r="R154" s="41" t="e">
        <f t="shared" si="134"/>
        <v>#DIV/0!</v>
      </c>
      <c r="S154" s="41">
        <f t="shared" si="134"/>
        <v>0.73586980836626648</v>
      </c>
      <c r="T154" s="41" t="e">
        <f t="shared" si="133"/>
        <v>#DIV/0!</v>
      </c>
      <c r="U154" s="37"/>
      <c r="V154" s="37"/>
      <c r="W154" s="37"/>
      <c r="X154" s="37"/>
      <c r="Y154" s="37">
        <f>2004+4312</f>
        <v>6316</v>
      </c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42"/>
      <c r="BI154" s="43"/>
      <c r="BJ154" s="43"/>
      <c r="BK154" s="43"/>
      <c r="BL154" s="43"/>
    </row>
    <row r="155" spans="1:64" ht="15.75" customHeight="1" x14ac:dyDescent="0.25">
      <c r="A155" s="185"/>
      <c r="B155" s="185"/>
      <c r="C155" s="186"/>
      <c r="D155" s="187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9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</row>
    <row r="156" spans="1:64" ht="15.75" customHeight="1" x14ac:dyDescent="0.25">
      <c r="A156" s="190"/>
      <c r="B156" s="190"/>
      <c r="C156" s="191"/>
      <c r="D156" s="187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9"/>
      <c r="T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</row>
    <row r="157" spans="1:64" ht="15.75" customHeight="1" x14ac:dyDescent="0.25">
      <c r="A157" s="190"/>
      <c r="B157" s="190"/>
      <c r="C157" s="191"/>
      <c r="D157" s="192"/>
      <c r="E157" s="193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9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</row>
    <row r="158" spans="1:64" ht="15.75" customHeight="1" x14ac:dyDescent="0.25">
      <c r="A158" s="187"/>
      <c r="B158" s="187"/>
      <c r="C158" s="194"/>
      <c r="D158" s="192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9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</row>
    <row r="159" spans="1:64" ht="15.75" customHeight="1" x14ac:dyDescent="0.25">
      <c r="A159" s="187"/>
      <c r="B159" s="187"/>
      <c r="C159" s="195"/>
      <c r="D159" s="192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9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</row>
    <row r="160" spans="1:64" ht="15.75" customHeight="1" x14ac:dyDescent="0.25">
      <c r="A160" s="188"/>
      <c r="B160" s="188"/>
      <c r="C160" s="196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9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</row>
    <row r="161" spans="1:59" ht="15.75" customHeight="1" x14ac:dyDescent="0.25">
      <c r="A161" s="188"/>
      <c r="B161" s="188"/>
      <c r="C161" s="196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9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  <c r="BF161" s="188"/>
      <c r="BG161" s="188"/>
    </row>
    <row r="162" spans="1:59" ht="15.75" customHeight="1" x14ac:dyDescent="0.25">
      <c r="A162" s="188"/>
      <c r="B162" s="188"/>
      <c r="C162" s="196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9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</row>
    <row r="163" spans="1:59" ht="15.75" customHeight="1" x14ac:dyDescent="0.25">
      <c r="A163" s="188"/>
      <c r="B163" s="188"/>
      <c r="C163" s="196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9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</row>
    <row r="164" spans="1:59" ht="15.75" customHeight="1" x14ac:dyDescent="0.25">
      <c r="A164" s="188"/>
      <c r="B164" s="188"/>
      <c r="C164" s="196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9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</row>
    <row r="165" spans="1:59" ht="15.75" customHeight="1" x14ac:dyDescent="0.25">
      <c r="A165" s="188"/>
      <c r="B165" s="188"/>
      <c r="C165" s="196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9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</row>
    <row r="166" spans="1:59" ht="15.75" customHeight="1" x14ac:dyDescent="0.25">
      <c r="A166" s="188"/>
      <c r="B166" s="188"/>
      <c r="C166" s="196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9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8"/>
    </row>
    <row r="167" spans="1:59" ht="15.75" customHeight="1" x14ac:dyDescent="0.25">
      <c r="A167" s="188"/>
      <c r="B167" s="188"/>
      <c r="C167" s="196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9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  <c r="AV167" s="188"/>
      <c r="AW167" s="188"/>
      <c r="AX167" s="188"/>
      <c r="AY167" s="188"/>
      <c r="AZ167" s="188"/>
      <c r="BA167" s="188"/>
      <c r="BB167" s="188"/>
      <c r="BC167" s="188"/>
      <c r="BD167" s="188"/>
      <c r="BE167" s="188"/>
      <c r="BF167" s="188"/>
      <c r="BG167" s="188"/>
    </row>
    <row r="168" spans="1:59" ht="15.75" customHeight="1" x14ac:dyDescent="0.25">
      <c r="S168" s="198"/>
    </row>
    <row r="169" spans="1:59" ht="15.75" customHeight="1" x14ac:dyDescent="0.25">
      <c r="S169" s="198"/>
    </row>
    <row r="170" spans="1:59" ht="15.75" customHeight="1" x14ac:dyDescent="0.25">
      <c r="S170" s="198"/>
    </row>
    <row r="171" spans="1:59" ht="15.75" customHeight="1" x14ac:dyDescent="0.25">
      <c r="S171" s="198"/>
    </row>
    <row r="172" spans="1:59" ht="15.75" customHeight="1" x14ac:dyDescent="0.25">
      <c r="S172" s="198"/>
    </row>
    <row r="173" spans="1:59" ht="15.75" customHeight="1" x14ac:dyDescent="0.25">
      <c r="S173" s="198"/>
    </row>
    <row r="174" spans="1:59" ht="15.75" customHeight="1" x14ac:dyDescent="0.25">
      <c r="S174" s="198"/>
    </row>
    <row r="175" spans="1:59" ht="15.75" customHeight="1" x14ac:dyDescent="0.25">
      <c r="S175" s="198"/>
    </row>
    <row r="176" spans="1:59" ht="15.75" customHeight="1" x14ac:dyDescent="0.25">
      <c r="S176" s="198"/>
    </row>
    <row r="177" spans="19:19" ht="15.75" customHeight="1" x14ac:dyDescent="0.25">
      <c r="S177" s="198"/>
    </row>
    <row r="178" spans="19:19" ht="15.75" customHeight="1" x14ac:dyDescent="0.25">
      <c r="S178" s="198"/>
    </row>
    <row r="179" spans="19:19" ht="15.75" customHeight="1" x14ac:dyDescent="0.25">
      <c r="S179" s="198"/>
    </row>
    <row r="180" spans="19:19" ht="15.75" customHeight="1" x14ac:dyDescent="0.25">
      <c r="S180" s="198"/>
    </row>
    <row r="181" spans="19:19" ht="15.75" customHeight="1" x14ac:dyDescent="0.25">
      <c r="S181" s="198"/>
    </row>
    <row r="182" spans="19:19" ht="15.75" customHeight="1" x14ac:dyDescent="0.25">
      <c r="S182" s="198"/>
    </row>
    <row r="183" spans="19:19" ht="15.75" customHeight="1" x14ac:dyDescent="0.25">
      <c r="S183" s="198"/>
    </row>
    <row r="184" spans="19:19" ht="15.75" customHeight="1" x14ac:dyDescent="0.25">
      <c r="S184" s="198"/>
    </row>
    <row r="185" spans="19:19" ht="15.75" customHeight="1" x14ac:dyDescent="0.25">
      <c r="S185" s="198"/>
    </row>
    <row r="186" spans="19:19" ht="15.75" customHeight="1" x14ac:dyDescent="0.25">
      <c r="S186" s="198"/>
    </row>
    <row r="187" spans="19:19" ht="15.75" customHeight="1" x14ac:dyDescent="0.25">
      <c r="S187" s="198"/>
    </row>
    <row r="188" spans="19:19" ht="15.75" customHeight="1" x14ac:dyDescent="0.25">
      <c r="S188" s="198"/>
    </row>
    <row r="189" spans="19:19" ht="15.75" customHeight="1" x14ac:dyDescent="0.25">
      <c r="S189" s="198"/>
    </row>
    <row r="190" spans="19:19" ht="15.75" customHeight="1" x14ac:dyDescent="0.25">
      <c r="S190" s="198"/>
    </row>
    <row r="191" spans="19:19" ht="15.75" customHeight="1" x14ac:dyDescent="0.25">
      <c r="S191" s="198"/>
    </row>
    <row r="192" spans="19:19" ht="15.75" customHeight="1" x14ac:dyDescent="0.25">
      <c r="S192" s="198"/>
    </row>
    <row r="193" spans="19:19" ht="15.75" customHeight="1" x14ac:dyDescent="0.25">
      <c r="S193" s="198"/>
    </row>
    <row r="194" spans="19:19" ht="15.75" customHeight="1" x14ac:dyDescent="0.25">
      <c r="S194" s="198"/>
    </row>
    <row r="195" spans="19:19" ht="15.75" customHeight="1" x14ac:dyDescent="0.25">
      <c r="S195" s="198"/>
    </row>
    <row r="196" spans="19:19" ht="15.75" customHeight="1" x14ac:dyDescent="0.25">
      <c r="S196" s="198"/>
    </row>
    <row r="197" spans="19:19" ht="15.75" customHeight="1" x14ac:dyDescent="0.25">
      <c r="S197" s="198"/>
    </row>
    <row r="198" spans="19:19" ht="15.75" customHeight="1" x14ac:dyDescent="0.25">
      <c r="S198" s="198"/>
    </row>
    <row r="199" spans="19:19" ht="15.75" customHeight="1" x14ac:dyDescent="0.25">
      <c r="S199" s="198"/>
    </row>
    <row r="200" spans="19:19" ht="15.75" customHeight="1" x14ac:dyDescent="0.25">
      <c r="S200" s="198"/>
    </row>
    <row r="201" spans="19:19" ht="15.75" customHeight="1" x14ac:dyDescent="0.25">
      <c r="S201" s="198"/>
    </row>
    <row r="202" spans="19:19" ht="15.75" customHeight="1" x14ac:dyDescent="0.25">
      <c r="S202" s="198"/>
    </row>
    <row r="203" spans="19:19" ht="15.75" customHeight="1" x14ac:dyDescent="0.25">
      <c r="S203" s="198"/>
    </row>
    <row r="204" spans="19:19" ht="15.75" customHeight="1" x14ac:dyDescent="0.25">
      <c r="S204" s="198"/>
    </row>
    <row r="205" spans="19:19" ht="15.75" customHeight="1" x14ac:dyDescent="0.25">
      <c r="S205" s="198"/>
    </row>
    <row r="206" spans="19:19" ht="15.75" customHeight="1" x14ac:dyDescent="0.25">
      <c r="S206" s="198"/>
    </row>
    <row r="207" spans="19:19" ht="15.75" customHeight="1" x14ac:dyDescent="0.25">
      <c r="S207" s="198"/>
    </row>
    <row r="208" spans="19:19" ht="15.75" customHeight="1" x14ac:dyDescent="0.25">
      <c r="S208" s="198"/>
    </row>
    <row r="209" spans="19:19" ht="15.75" customHeight="1" x14ac:dyDescent="0.25">
      <c r="S209" s="198"/>
    </row>
    <row r="210" spans="19:19" ht="15.75" customHeight="1" x14ac:dyDescent="0.25">
      <c r="S210" s="198"/>
    </row>
    <row r="211" spans="19:19" ht="15.75" customHeight="1" x14ac:dyDescent="0.25">
      <c r="S211" s="198"/>
    </row>
    <row r="212" spans="19:19" ht="15.75" customHeight="1" x14ac:dyDescent="0.25">
      <c r="S212" s="198"/>
    </row>
    <row r="213" spans="19:19" ht="15.75" customHeight="1" x14ac:dyDescent="0.25">
      <c r="S213" s="198"/>
    </row>
    <row r="214" spans="19:19" ht="15.75" customHeight="1" x14ac:dyDescent="0.25">
      <c r="S214" s="198"/>
    </row>
    <row r="215" spans="19:19" ht="15.75" customHeight="1" x14ac:dyDescent="0.25">
      <c r="S215" s="198"/>
    </row>
    <row r="216" spans="19:19" ht="15.75" customHeight="1" x14ac:dyDescent="0.25">
      <c r="S216" s="198"/>
    </row>
    <row r="217" spans="19:19" ht="15.75" customHeight="1" x14ac:dyDescent="0.25">
      <c r="S217" s="198"/>
    </row>
    <row r="218" spans="19:19" ht="15.75" customHeight="1" x14ac:dyDescent="0.25">
      <c r="S218" s="198"/>
    </row>
    <row r="219" spans="19:19" ht="15.75" customHeight="1" x14ac:dyDescent="0.25">
      <c r="S219" s="198"/>
    </row>
    <row r="220" spans="19:19" ht="15.75" customHeight="1" x14ac:dyDescent="0.25">
      <c r="S220" s="198"/>
    </row>
    <row r="221" spans="19:19" ht="15.75" customHeight="1" x14ac:dyDescent="0.25">
      <c r="S221" s="198"/>
    </row>
    <row r="222" spans="19:19" ht="15.75" customHeight="1" x14ac:dyDescent="0.25">
      <c r="S222" s="198"/>
    </row>
    <row r="223" spans="19:19" ht="15.75" customHeight="1" x14ac:dyDescent="0.25">
      <c r="S223" s="198"/>
    </row>
    <row r="224" spans="19:19" ht="15.75" customHeight="1" x14ac:dyDescent="0.25">
      <c r="S224" s="198"/>
    </row>
    <row r="225" spans="19:19" ht="15.75" customHeight="1" x14ac:dyDescent="0.25">
      <c r="S225" s="198"/>
    </row>
    <row r="226" spans="19:19" ht="15.75" customHeight="1" x14ac:dyDescent="0.25">
      <c r="S226" s="198"/>
    </row>
    <row r="227" spans="19:19" ht="15.75" customHeight="1" x14ac:dyDescent="0.25">
      <c r="S227" s="198"/>
    </row>
    <row r="228" spans="19:19" ht="15.75" customHeight="1" x14ac:dyDescent="0.25">
      <c r="S228" s="198"/>
    </row>
    <row r="229" spans="19:19" ht="15.75" customHeight="1" x14ac:dyDescent="0.25">
      <c r="S229" s="198"/>
    </row>
    <row r="230" spans="19:19" ht="15.75" customHeight="1" x14ac:dyDescent="0.25">
      <c r="S230" s="198"/>
    </row>
    <row r="231" spans="19:19" ht="15.75" customHeight="1" x14ac:dyDescent="0.25">
      <c r="S231" s="198"/>
    </row>
    <row r="232" spans="19:19" ht="15.75" customHeight="1" x14ac:dyDescent="0.25">
      <c r="S232" s="198"/>
    </row>
    <row r="233" spans="19:19" ht="15.75" customHeight="1" x14ac:dyDescent="0.25">
      <c r="S233" s="198"/>
    </row>
    <row r="234" spans="19:19" ht="15.75" customHeight="1" x14ac:dyDescent="0.25">
      <c r="S234" s="198"/>
    </row>
    <row r="235" spans="19:19" ht="15.75" customHeight="1" x14ac:dyDescent="0.25">
      <c r="S235" s="198"/>
    </row>
    <row r="236" spans="19:19" ht="15.75" customHeight="1" x14ac:dyDescent="0.25">
      <c r="S236" s="198"/>
    </row>
    <row r="237" spans="19:19" ht="15.75" customHeight="1" x14ac:dyDescent="0.25">
      <c r="S237" s="198"/>
    </row>
    <row r="238" spans="19:19" ht="15.75" customHeight="1" x14ac:dyDescent="0.25">
      <c r="S238" s="198"/>
    </row>
    <row r="239" spans="19:19" ht="15.75" customHeight="1" x14ac:dyDescent="0.25">
      <c r="S239" s="198"/>
    </row>
    <row r="240" spans="19:19" ht="15.75" customHeight="1" x14ac:dyDescent="0.25">
      <c r="S240" s="198"/>
    </row>
    <row r="241" spans="19:19" ht="15.75" customHeight="1" x14ac:dyDescent="0.25">
      <c r="S241" s="198"/>
    </row>
    <row r="242" spans="19:19" ht="15.75" customHeight="1" x14ac:dyDescent="0.25">
      <c r="S242" s="198"/>
    </row>
    <row r="243" spans="19:19" ht="15.75" customHeight="1" x14ac:dyDescent="0.25">
      <c r="S243" s="198"/>
    </row>
    <row r="244" spans="19:19" ht="15.75" customHeight="1" x14ac:dyDescent="0.25">
      <c r="S244" s="198"/>
    </row>
    <row r="245" spans="19:19" ht="15.75" customHeight="1" x14ac:dyDescent="0.25">
      <c r="S245" s="198"/>
    </row>
    <row r="246" spans="19:19" ht="15.75" customHeight="1" x14ac:dyDescent="0.25">
      <c r="S246" s="198"/>
    </row>
    <row r="247" spans="19:19" ht="15.75" customHeight="1" x14ac:dyDescent="0.25">
      <c r="S247" s="198"/>
    </row>
    <row r="248" spans="19:19" ht="15.75" customHeight="1" x14ac:dyDescent="0.25">
      <c r="S248" s="198"/>
    </row>
    <row r="249" spans="19:19" ht="15.75" customHeight="1" x14ac:dyDescent="0.25">
      <c r="S249" s="198"/>
    </row>
    <row r="250" spans="19:19" ht="15.75" customHeight="1" x14ac:dyDescent="0.25">
      <c r="S250" s="198"/>
    </row>
    <row r="251" spans="19:19" ht="15.75" customHeight="1" x14ac:dyDescent="0.25">
      <c r="S251" s="198"/>
    </row>
    <row r="252" spans="19:19" ht="15.75" customHeight="1" x14ac:dyDescent="0.25">
      <c r="S252" s="198"/>
    </row>
    <row r="253" spans="19:19" ht="15.75" customHeight="1" x14ac:dyDescent="0.25">
      <c r="S253" s="198"/>
    </row>
    <row r="254" spans="19:19" ht="15.75" customHeight="1" x14ac:dyDescent="0.25">
      <c r="S254" s="198"/>
    </row>
    <row r="255" spans="19:19" ht="15.75" customHeight="1" x14ac:dyDescent="0.25">
      <c r="S255" s="198"/>
    </row>
    <row r="256" spans="19:19" ht="15.75" customHeight="1" x14ac:dyDescent="0.25">
      <c r="S256" s="198"/>
    </row>
    <row r="257" spans="19:19" ht="15.75" customHeight="1" x14ac:dyDescent="0.25">
      <c r="S257" s="198"/>
    </row>
    <row r="258" spans="19:19" ht="15.75" customHeight="1" x14ac:dyDescent="0.25">
      <c r="S258" s="198"/>
    </row>
    <row r="259" spans="19:19" ht="15.75" customHeight="1" x14ac:dyDescent="0.25">
      <c r="S259" s="198"/>
    </row>
    <row r="260" spans="19:19" ht="15.75" customHeight="1" x14ac:dyDescent="0.25">
      <c r="S260" s="198"/>
    </row>
    <row r="261" spans="19:19" ht="15.75" customHeight="1" x14ac:dyDescent="0.25">
      <c r="S261" s="198"/>
    </row>
    <row r="262" spans="19:19" ht="15.75" customHeight="1" x14ac:dyDescent="0.25">
      <c r="S262" s="198"/>
    </row>
    <row r="263" spans="19:19" ht="15.75" customHeight="1" x14ac:dyDescent="0.25">
      <c r="S263" s="198"/>
    </row>
    <row r="264" spans="19:19" ht="15.75" customHeight="1" x14ac:dyDescent="0.25">
      <c r="S264" s="198"/>
    </row>
    <row r="265" spans="19:19" ht="15.75" customHeight="1" x14ac:dyDescent="0.25">
      <c r="S265" s="198"/>
    </row>
    <row r="266" spans="19:19" ht="15.75" customHeight="1" x14ac:dyDescent="0.25">
      <c r="S266" s="198"/>
    </row>
    <row r="267" spans="19:19" ht="15.75" customHeight="1" x14ac:dyDescent="0.25">
      <c r="S267" s="198"/>
    </row>
    <row r="268" spans="19:19" ht="15.75" customHeight="1" x14ac:dyDescent="0.25">
      <c r="S268" s="198"/>
    </row>
    <row r="269" spans="19:19" ht="15.75" customHeight="1" x14ac:dyDescent="0.25">
      <c r="S269" s="198"/>
    </row>
    <row r="270" spans="19:19" ht="15.75" customHeight="1" x14ac:dyDescent="0.25">
      <c r="S270" s="198"/>
    </row>
    <row r="271" spans="19:19" ht="15.75" customHeight="1" x14ac:dyDescent="0.25">
      <c r="S271" s="198"/>
    </row>
    <row r="272" spans="19:19" ht="15.75" customHeight="1" x14ac:dyDescent="0.25">
      <c r="S272" s="198"/>
    </row>
    <row r="273" spans="19:19" ht="15.75" customHeight="1" x14ac:dyDescent="0.25">
      <c r="S273" s="198"/>
    </row>
    <row r="274" spans="19:19" ht="15.75" customHeight="1" x14ac:dyDescent="0.25">
      <c r="S274" s="198"/>
    </row>
    <row r="275" spans="19:19" ht="15.75" customHeight="1" x14ac:dyDescent="0.25">
      <c r="S275" s="198"/>
    </row>
    <row r="276" spans="19:19" ht="15.75" customHeight="1" x14ac:dyDescent="0.25">
      <c r="S276" s="198"/>
    </row>
    <row r="277" spans="19:19" ht="15.75" customHeight="1" x14ac:dyDescent="0.25">
      <c r="S277" s="198"/>
    </row>
    <row r="278" spans="19:19" ht="15.75" customHeight="1" x14ac:dyDescent="0.25">
      <c r="S278" s="198"/>
    </row>
    <row r="279" spans="19:19" ht="15.75" customHeight="1" x14ac:dyDescent="0.25">
      <c r="S279" s="198"/>
    </row>
    <row r="280" spans="19:19" ht="15.75" customHeight="1" x14ac:dyDescent="0.25">
      <c r="S280" s="198"/>
    </row>
    <row r="281" spans="19:19" ht="15.75" customHeight="1" x14ac:dyDescent="0.25">
      <c r="S281" s="198"/>
    </row>
    <row r="282" spans="19:19" ht="15.75" customHeight="1" x14ac:dyDescent="0.25">
      <c r="S282" s="198"/>
    </row>
    <row r="283" spans="19:19" ht="15.75" customHeight="1" x14ac:dyDescent="0.25">
      <c r="S283" s="198"/>
    </row>
    <row r="284" spans="19:19" ht="15.75" customHeight="1" x14ac:dyDescent="0.25">
      <c r="S284" s="198"/>
    </row>
    <row r="285" spans="19:19" ht="15.75" customHeight="1" x14ac:dyDescent="0.25">
      <c r="S285" s="198"/>
    </row>
    <row r="286" spans="19:19" ht="15.75" customHeight="1" x14ac:dyDescent="0.25">
      <c r="S286" s="198"/>
    </row>
    <row r="287" spans="19:19" ht="15.75" customHeight="1" x14ac:dyDescent="0.25">
      <c r="S287" s="198"/>
    </row>
    <row r="288" spans="19:19" ht="15.75" customHeight="1" x14ac:dyDescent="0.25">
      <c r="S288" s="198"/>
    </row>
    <row r="289" spans="19:19" ht="15.75" customHeight="1" x14ac:dyDescent="0.25">
      <c r="S289" s="198"/>
    </row>
    <row r="290" spans="19:19" ht="15.75" customHeight="1" x14ac:dyDescent="0.25">
      <c r="S290" s="198"/>
    </row>
    <row r="291" spans="19:19" ht="15.75" customHeight="1" x14ac:dyDescent="0.25">
      <c r="S291" s="198"/>
    </row>
    <row r="292" spans="19:19" ht="15.75" customHeight="1" x14ac:dyDescent="0.25">
      <c r="S292" s="198"/>
    </row>
    <row r="293" spans="19:19" ht="15.75" customHeight="1" x14ac:dyDescent="0.25">
      <c r="S293" s="198"/>
    </row>
    <row r="294" spans="19:19" ht="15.75" customHeight="1" x14ac:dyDescent="0.25">
      <c r="S294" s="198"/>
    </row>
    <row r="295" spans="19:19" ht="15.75" customHeight="1" x14ac:dyDescent="0.25">
      <c r="S295" s="198"/>
    </row>
    <row r="296" spans="19:19" ht="15.75" customHeight="1" x14ac:dyDescent="0.25">
      <c r="S296" s="198"/>
    </row>
    <row r="297" spans="19:19" ht="15.75" customHeight="1" x14ac:dyDescent="0.25">
      <c r="S297" s="198"/>
    </row>
    <row r="298" spans="19:19" ht="15.75" customHeight="1" x14ac:dyDescent="0.25">
      <c r="S298" s="198"/>
    </row>
    <row r="299" spans="19:19" ht="15.75" customHeight="1" x14ac:dyDescent="0.25">
      <c r="S299" s="198"/>
    </row>
    <row r="300" spans="19:19" ht="15.75" customHeight="1" x14ac:dyDescent="0.25">
      <c r="S300" s="198"/>
    </row>
    <row r="301" spans="19:19" ht="15.75" customHeight="1" x14ac:dyDescent="0.25">
      <c r="S301" s="198"/>
    </row>
    <row r="302" spans="19:19" ht="15.75" customHeight="1" x14ac:dyDescent="0.25">
      <c r="S302" s="198"/>
    </row>
    <row r="303" spans="19:19" ht="15.75" customHeight="1" x14ac:dyDescent="0.25">
      <c r="S303" s="198"/>
    </row>
    <row r="304" spans="19:19" ht="15.75" customHeight="1" x14ac:dyDescent="0.25">
      <c r="S304" s="198"/>
    </row>
    <row r="305" spans="19:19" ht="15.75" customHeight="1" x14ac:dyDescent="0.25">
      <c r="S305" s="198"/>
    </row>
    <row r="306" spans="19:19" ht="15.75" customHeight="1" x14ac:dyDescent="0.25">
      <c r="S306" s="198"/>
    </row>
    <row r="307" spans="19:19" ht="15.75" customHeight="1" x14ac:dyDescent="0.25">
      <c r="S307" s="198"/>
    </row>
    <row r="308" spans="19:19" ht="15.75" customHeight="1" x14ac:dyDescent="0.25">
      <c r="S308" s="198"/>
    </row>
    <row r="309" spans="19:19" ht="15.75" customHeight="1" x14ac:dyDescent="0.25">
      <c r="S309" s="198"/>
    </row>
    <row r="310" spans="19:19" ht="15.75" customHeight="1" x14ac:dyDescent="0.25">
      <c r="S310" s="198"/>
    </row>
    <row r="311" spans="19:19" ht="15.75" customHeight="1" x14ac:dyDescent="0.25">
      <c r="S311" s="198"/>
    </row>
    <row r="312" spans="19:19" ht="15.75" customHeight="1" x14ac:dyDescent="0.25">
      <c r="S312" s="198"/>
    </row>
    <row r="313" spans="19:19" ht="15.75" customHeight="1" x14ac:dyDescent="0.25">
      <c r="S313" s="198"/>
    </row>
    <row r="314" spans="19:19" ht="15.75" customHeight="1" x14ac:dyDescent="0.25">
      <c r="S314" s="198"/>
    </row>
    <row r="315" spans="19:19" ht="15.75" customHeight="1" x14ac:dyDescent="0.25">
      <c r="S315" s="198"/>
    </row>
    <row r="316" spans="19:19" ht="15.75" customHeight="1" x14ac:dyDescent="0.25">
      <c r="S316" s="198"/>
    </row>
    <row r="317" spans="19:19" ht="15.75" customHeight="1" x14ac:dyDescent="0.25">
      <c r="S317" s="198"/>
    </row>
    <row r="318" spans="19:19" ht="15.75" customHeight="1" x14ac:dyDescent="0.25">
      <c r="S318" s="198"/>
    </row>
    <row r="319" spans="19:19" ht="15.75" customHeight="1" x14ac:dyDescent="0.25">
      <c r="S319" s="198"/>
    </row>
    <row r="320" spans="19:19" ht="15.75" customHeight="1" x14ac:dyDescent="0.25">
      <c r="S320" s="198"/>
    </row>
    <row r="321" spans="19:19" ht="15.75" customHeight="1" x14ac:dyDescent="0.25">
      <c r="S321" s="198"/>
    </row>
    <row r="322" spans="19:19" ht="15.75" customHeight="1" x14ac:dyDescent="0.25">
      <c r="S322" s="198"/>
    </row>
    <row r="323" spans="19:19" ht="15.75" customHeight="1" x14ac:dyDescent="0.25">
      <c r="S323" s="198"/>
    </row>
    <row r="324" spans="19:19" ht="15.75" customHeight="1" x14ac:dyDescent="0.25">
      <c r="S324" s="198"/>
    </row>
    <row r="325" spans="19:19" ht="15.75" customHeight="1" x14ac:dyDescent="0.25">
      <c r="S325" s="198"/>
    </row>
    <row r="326" spans="19:19" ht="15.75" customHeight="1" x14ac:dyDescent="0.25">
      <c r="S326" s="198"/>
    </row>
    <row r="327" spans="19:19" ht="15.75" customHeight="1" x14ac:dyDescent="0.25">
      <c r="S327" s="198"/>
    </row>
    <row r="328" spans="19:19" ht="15.75" customHeight="1" x14ac:dyDescent="0.25">
      <c r="S328" s="198"/>
    </row>
    <row r="329" spans="19:19" ht="15.75" customHeight="1" x14ac:dyDescent="0.25">
      <c r="S329" s="198"/>
    </row>
    <row r="330" spans="19:19" ht="15.75" customHeight="1" x14ac:dyDescent="0.25">
      <c r="S330" s="198"/>
    </row>
    <row r="331" spans="19:19" ht="15.75" customHeight="1" x14ac:dyDescent="0.25">
      <c r="S331" s="198"/>
    </row>
    <row r="332" spans="19:19" ht="15.75" customHeight="1" x14ac:dyDescent="0.25">
      <c r="S332" s="198"/>
    </row>
    <row r="333" spans="19:19" ht="15.75" customHeight="1" x14ac:dyDescent="0.25">
      <c r="S333" s="198"/>
    </row>
    <row r="334" spans="19:19" ht="15.75" customHeight="1" x14ac:dyDescent="0.25">
      <c r="S334" s="198"/>
    </row>
    <row r="335" spans="19:19" ht="15.75" customHeight="1" x14ac:dyDescent="0.25">
      <c r="S335" s="198"/>
    </row>
    <row r="336" spans="19:19" ht="15.75" customHeight="1" x14ac:dyDescent="0.25">
      <c r="S336" s="198"/>
    </row>
    <row r="337" spans="19:19" ht="15.75" customHeight="1" x14ac:dyDescent="0.25">
      <c r="S337" s="198"/>
    </row>
    <row r="338" spans="19:19" ht="15.75" customHeight="1" x14ac:dyDescent="0.25">
      <c r="S338" s="198"/>
    </row>
    <row r="339" spans="19:19" ht="15.75" customHeight="1" x14ac:dyDescent="0.25">
      <c r="S339" s="198"/>
    </row>
    <row r="340" spans="19:19" ht="15.75" customHeight="1" x14ac:dyDescent="0.25">
      <c r="S340" s="198"/>
    </row>
    <row r="341" spans="19:19" ht="15.75" customHeight="1" x14ac:dyDescent="0.25">
      <c r="S341" s="198"/>
    </row>
    <row r="342" spans="19:19" ht="15.75" customHeight="1" x14ac:dyDescent="0.25">
      <c r="S342" s="198"/>
    </row>
    <row r="343" spans="19:19" ht="15.75" customHeight="1" x14ac:dyDescent="0.25">
      <c r="S343" s="198"/>
    </row>
    <row r="344" spans="19:19" ht="15.75" customHeight="1" x14ac:dyDescent="0.25">
      <c r="S344" s="198"/>
    </row>
    <row r="345" spans="19:19" ht="15.75" customHeight="1" x14ac:dyDescent="0.25">
      <c r="S345" s="198"/>
    </row>
    <row r="346" spans="19:19" ht="15.75" customHeight="1" x14ac:dyDescent="0.25">
      <c r="S346" s="198"/>
    </row>
    <row r="347" spans="19:19" ht="15.75" customHeight="1" x14ac:dyDescent="0.25">
      <c r="S347" s="198"/>
    </row>
    <row r="348" spans="19:19" ht="15.75" customHeight="1" x14ac:dyDescent="0.25">
      <c r="S348" s="198"/>
    </row>
    <row r="349" spans="19:19" ht="15.75" customHeight="1" x14ac:dyDescent="0.25">
      <c r="S349" s="198"/>
    </row>
    <row r="350" spans="19:19" ht="15.75" customHeight="1" x14ac:dyDescent="0.25">
      <c r="S350" s="198"/>
    </row>
    <row r="351" spans="19:19" ht="15.75" customHeight="1" x14ac:dyDescent="0.25">
      <c r="S351" s="198"/>
    </row>
    <row r="352" spans="19:19" ht="15.75" customHeight="1" x14ac:dyDescent="0.25">
      <c r="S352" s="198"/>
    </row>
    <row r="353" spans="19:19" ht="15.75" customHeight="1" x14ac:dyDescent="0.25">
      <c r="S353" s="198"/>
    </row>
    <row r="354" spans="19:19" ht="15.75" customHeight="1" x14ac:dyDescent="0.25">
      <c r="S354" s="198"/>
    </row>
    <row r="355" spans="19:19" ht="15.75" customHeight="1" x14ac:dyDescent="0.25">
      <c r="S355" s="198"/>
    </row>
    <row r="356" spans="19:19" ht="15.75" customHeight="1" x14ac:dyDescent="0.25">
      <c r="S356" s="198"/>
    </row>
    <row r="357" spans="19:19" ht="15.75" customHeight="1" x14ac:dyDescent="0.25">
      <c r="S357" s="198"/>
    </row>
    <row r="358" spans="19:19" ht="15.75" customHeight="1" x14ac:dyDescent="0.25">
      <c r="S358" s="198"/>
    </row>
    <row r="359" spans="19:19" ht="15.75" customHeight="1" x14ac:dyDescent="0.25">
      <c r="S359" s="198"/>
    </row>
    <row r="360" spans="19:19" ht="15.75" customHeight="1" x14ac:dyDescent="0.25">
      <c r="S360" s="198"/>
    </row>
    <row r="361" spans="19:19" ht="15.75" customHeight="1" x14ac:dyDescent="0.25">
      <c r="S361" s="198"/>
    </row>
    <row r="362" spans="19:19" ht="15.75" customHeight="1" x14ac:dyDescent="0.25">
      <c r="S362" s="198"/>
    </row>
    <row r="363" spans="19:19" ht="15.75" customHeight="1" x14ac:dyDescent="0.25">
      <c r="S363" s="198"/>
    </row>
    <row r="364" spans="19:19" ht="15.75" customHeight="1" x14ac:dyDescent="0.25">
      <c r="S364" s="198"/>
    </row>
    <row r="365" spans="19:19" ht="15.75" customHeight="1" x14ac:dyDescent="0.25">
      <c r="S365" s="198"/>
    </row>
    <row r="366" spans="19:19" ht="15.75" customHeight="1" x14ac:dyDescent="0.25">
      <c r="S366" s="198"/>
    </row>
    <row r="367" spans="19:19" ht="15.75" customHeight="1" x14ac:dyDescent="0.25">
      <c r="S367" s="198"/>
    </row>
    <row r="368" spans="19:19" ht="15.75" customHeight="1" x14ac:dyDescent="0.25">
      <c r="S368" s="198"/>
    </row>
    <row r="369" spans="19:19" ht="15.75" customHeight="1" x14ac:dyDescent="0.25">
      <c r="S369" s="198"/>
    </row>
    <row r="370" spans="19:19" ht="15.75" customHeight="1" x14ac:dyDescent="0.25">
      <c r="S370" s="198"/>
    </row>
    <row r="371" spans="19:19" ht="15.75" customHeight="1" x14ac:dyDescent="0.25">
      <c r="S371" s="198"/>
    </row>
    <row r="372" spans="19:19" ht="15.75" customHeight="1" x14ac:dyDescent="0.25">
      <c r="S372" s="198"/>
    </row>
    <row r="373" spans="19:19" ht="15.75" customHeight="1" x14ac:dyDescent="0.25">
      <c r="S373" s="198"/>
    </row>
    <row r="374" spans="19:19" ht="15.75" customHeight="1" x14ac:dyDescent="0.25">
      <c r="S374" s="198"/>
    </row>
    <row r="375" spans="19:19" ht="15.75" customHeight="1" x14ac:dyDescent="0.25">
      <c r="S375" s="198"/>
    </row>
    <row r="376" spans="19:19" ht="15.75" customHeight="1" x14ac:dyDescent="0.25">
      <c r="S376" s="198"/>
    </row>
    <row r="377" spans="19:19" ht="15.75" customHeight="1" x14ac:dyDescent="0.25">
      <c r="S377" s="198"/>
    </row>
    <row r="378" spans="19:19" ht="15.75" customHeight="1" x14ac:dyDescent="0.25">
      <c r="S378" s="198"/>
    </row>
    <row r="379" spans="19:19" ht="15.75" customHeight="1" x14ac:dyDescent="0.25">
      <c r="S379" s="198"/>
    </row>
    <row r="380" spans="19:19" ht="15.75" customHeight="1" x14ac:dyDescent="0.25">
      <c r="S380" s="198"/>
    </row>
    <row r="381" spans="19:19" ht="15.75" customHeight="1" x14ac:dyDescent="0.25">
      <c r="S381" s="198"/>
    </row>
    <row r="382" spans="19:19" ht="15.75" customHeight="1" x14ac:dyDescent="0.25">
      <c r="S382" s="198"/>
    </row>
    <row r="383" spans="19:19" ht="15.75" customHeight="1" x14ac:dyDescent="0.25">
      <c r="S383" s="198"/>
    </row>
    <row r="384" spans="19:19" ht="15.75" customHeight="1" x14ac:dyDescent="0.25">
      <c r="S384" s="198"/>
    </row>
    <row r="385" spans="19:19" ht="15.75" customHeight="1" x14ac:dyDescent="0.25">
      <c r="S385" s="198"/>
    </row>
    <row r="386" spans="19:19" ht="15.75" customHeight="1" x14ac:dyDescent="0.25">
      <c r="S386" s="198"/>
    </row>
    <row r="387" spans="19:19" ht="15.75" customHeight="1" x14ac:dyDescent="0.25">
      <c r="S387" s="198"/>
    </row>
    <row r="388" spans="19:19" ht="15.75" customHeight="1" x14ac:dyDescent="0.25">
      <c r="S388" s="198"/>
    </row>
    <row r="389" spans="19:19" ht="15.75" customHeight="1" x14ac:dyDescent="0.25">
      <c r="S389" s="198"/>
    </row>
    <row r="390" spans="19:19" ht="15.75" customHeight="1" x14ac:dyDescent="0.25">
      <c r="S390" s="198"/>
    </row>
    <row r="391" spans="19:19" ht="15.75" customHeight="1" x14ac:dyDescent="0.25">
      <c r="S391" s="198"/>
    </row>
    <row r="392" spans="19:19" ht="15.75" customHeight="1" x14ac:dyDescent="0.25">
      <c r="S392" s="198"/>
    </row>
    <row r="393" spans="19:19" ht="15.75" customHeight="1" x14ac:dyDescent="0.25">
      <c r="S393" s="198"/>
    </row>
    <row r="394" spans="19:19" ht="15.75" customHeight="1" x14ac:dyDescent="0.25">
      <c r="S394" s="198"/>
    </row>
    <row r="395" spans="19:19" ht="15.75" customHeight="1" x14ac:dyDescent="0.25">
      <c r="S395" s="198"/>
    </row>
    <row r="396" spans="19:19" ht="15.75" customHeight="1" x14ac:dyDescent="0.25">
      <c r="S396" s="198"/>
    </row>
    <row r="397" spans="19:19" ht="15.75" customHeight="1" x14ac:dyDescent="0.25">
      <c r="S397" s="198"/>
    </row>
    <row r="398" spans="19:19" ht="15.75" customHeight="1" x14ac:dyDescent="0.25">
      <c r="S398" s="198"/>
    </row>
    <row r="399" spans="19:19" ht="15.75" customHeight="1" x14ac:dyDescent="0.25">
      <c r="S399" s="198"/>
    </row>
    <row r="400" spans="19:19" ht="15.75" customHeight="1" x14ac:dyDescent="0.25">
      <c r="S400" s="198"/>
    </row>
    <row r="401" spans="19:19" ht="15.75" customHeight="1" x14ac:dyDescent="0.25">
      <c r="S401" s="198"/>
    </row>
    <row r="402" spans="19:19" ht="15.75" customHeight="1" x14ac:dyDescent="0.25">
      <c r="S402" s="198"/>
    </row>
    <row r="403" spans="19:19" ht="15.75" customHeight="1" x14ac:dyDescent="0.25">
      <c r="S403" s="198"/>
    </row>
    <row r="404" spans="19:19" ht="15.75" customHeight="1" x14ac:dyDescent="0.25">
      <c r="S404" s="198"/>
    </row>
    <row r="405" spans="19:19" ht="15.75" customHeight="1" x14ac:dyDescent="0.25">
      <c r="S405" s="198"/>
    </row>
    <row r="406" spans="19:19" ht="15.75" customHeight="1" x14ac:dyDescent="0.25">
      <c r="S406" s="198"/>
    </row>
    <row r="407" spans="19:19" ht="15.75" customHeight="1" x14ac:dyDescent="0.25">
      <c r="S407" s="198"/>
    </row>
    <row r="408" spans="19:19" ht="15.75" customHeight="1" x14ac:dyDescent="0.25">
      <c r="S408" s="198"/>
    </row>
    <row r="409" spans="19:19" ht="15.75" customHeight="1" x14ac:dyDescent="0.25">
      <c r="S409" s="198"/>
    </row>
    <row r="410" spans="19:19" ht="15.75" customHeight="1" x14ac:dyDescent="0.25">
      <c r="S410" s="198"/>
    </row>
    <row r="411" spans="19:19" ht="15.75" customHeight="1" x14ac:dyDescent="0.25">
      <c r="S411" s="198"/>
    </row>
    <row r="412" spans="19:19" ht="15.75" customHeight="1" x14ac:dyDescent="0.25">
      <c r="S412" s="198"/>
    </row>
    <row r="413" spans="19:19" ht="15.75" customHeight="1" x14ac:dyDescent="0.25">
      <c r="S413" s="198"/>
    </row>
    <row r="414" spans="19:19" ht="15.75" customHeight="1" x14ac:dyDescent="0.25">
      <c r="S414" s="198"/>
    </row>
    <row r="415" spans="19:19" ht="15.75" customHeight="1" x14ac:dyDescent="0.25">
      <c r="S415" s="198"/>
    </row>
    <row r="416" spans="19:19" ht="15.75" customHeight="1" x14ac:dyDescent="0.25">
      <c r="S416" s="198"/>
    </row>
    <row r="417" spans="19:19" ht="15.75" customHeight="1" x14ac:dyDescent="0.25">
      <c r="S417" s="198"/>
    </row>
    <row r="418" spans="19:19" ht="15.75" customHeight="1" x14ac:dyDescent="0.25">
      <c r="S418" s="198"/>
    </row>
    <row r="419" spans="19:19" ht="15.75" customHeight="1" x14ac:dyDescent="0.25">
      <c r="S419" s="198"/>
    </row>
    <row r="420" spans="19:19" ht="15.75" customHeight="1" x14ac:dyDescent="0.25">
      <c r="S420" s="198"/>
    </row>
    <row r="421" spans="19:19" ht="15.75" customHeight="1" x14ac:dyDescent="0.25">
      <c r="S421" s="198"/>
    </row>
    <row r="422" spans="19:19" ht="15.75" customHeight="1" x14ac:dyDescent="0.25">
      <c r="S422" s="198"/>
    </row>
    <row r="423" spans="19:19" ht="15.75" customHeight="1" x14ac:dyDescent="0.25">
      <c r="S423" s="198"/>
    </row>
    <row r="424" spans="19:19" ht="15.75" customHeight="1" x14ac:dyDescent="0.25">
      <c r="S424" s="198"/>
    </row>
    <row r="425" spans="19:19" ht="15.75" customHeight="1" x14ac:dyDescent="0.25">
      <c r="S425" s="198"/>
    </row>
    <row r="426" spans="19:19" ht="15.75" customHeight="1" x14ac:dyDescent="0.25">
      <c r="S426" s="198"/>
    </row>
    <row r="427" spans="19:19" ht="15.75" customHeight="1" x14ac:dyDescent="0.25">
      <c r="S427" s="198"/>
    </row>
    <row r="428" spans="19:19" ht="15.75" customHeight="1" x14ac:dyDescent="0.25">
      <c r="S428" s="198"/>
    </row>
    <row r="429" spans="19:19" ht="15.75" customHeight="1" x14ac:dyDescent="0.25">
      <c r="S429" s="198"/>
    </row>
    <row r="430" spans="19:19" ht="15.75" customHeight="1" x14ac:dyDescent="0.25">
      <c r="S430" s="198"/>
    </row>
    <row r="431" spans="19:19" ht="15.75" customHeight="1" x14ac:dyDescent="0.25">
      <c r="S431" s="198"/>
    </row>
    <row r="432" spans="19:19" ht="15.75" customHeight="1" x14ac:dyDescent="0.25">
      <c r="S432" s="198"/>
    </row>
    <row r="433" spans="19:19" ht="15.75" customHeight="1" x14ac:dyDescent="0.25">
      <c r="S433" s="198"/>
    </row>
    <row r="434" spans="19:19" ht="15.75" customHeight="1" x14ac:dyDescent="0.25">
      <c r="S434" s="198"/>
    </row>
    <row r="435" spans="19:19" ht="15.75" customHeight="1" x14ac:dyDescent="0.25">
      <c r="S435" s="198"/>
    </row>
    <row r="436" spans="19:19" ht="15.75" customHeight="1" x14ac:dyDescent="0.25">
      <c r="S436" s="198"/>
    </row>
    <row r="437" spans="19:19" ht="15.75" customHeight="1" x14ac:dyDescent="0.25">
      <c r="S437" s="198"/>
    </row>
    <row r="438" spans="19:19" ht="15.75" customHeight="1" x14ac:dyDescent="0.25">
      <c r="S438" s="198"/>
    </row>
    <row r="439" spans="19:19" ht="15.75" customHeight="1" x14ac:dyDescent="0.25">
      <c r="S439" s="198"/>
    </row>
    <row r="440" spans="19:19" ht="15.75" customHeight="1" x14ac:dyDescent="0.25">
      <c r="S440" s="198"/>
    </row>
    <row r="441" spans="19:19" ht="15.75" customHeight="1" x14ac:dyDescent="0.25">
      <c r="S441" s="198"/>
    </row>
    <row r="442" spans="19:19" ht="15.75" customHeight="1" x14ac:dyDescent="0.25">
      <c r="S442" s="198"/>
    </row>
    <row r="443" spans="19:19" ht="15.75" customHeight="1" x14ac:dyDescent="0.25">
      <c r="S443" s="198"/>
    </row>
    <row r="444" spans="19:19" ht="15.75" customHeight="1" x14ac:dyDescent="0.25">
      <c r="S444" s="198"/>
    </row>
    <row r="445" spans="19:19" ht="15.75" customHeight="1" x14ac:dyDescent="0.25">
      <c r="S445" s="198"/>
    </row>
    <row r="446" spans="19:19" ht="15.75" customHeight="1" x14ac:dyDescent="0.25">
      <c r="S446" s="198"/>
    </row>
    <row r="447" spans="19:19" ht="15.75" customHeight="1" x14ac:dyDescent="0.25">
      <c r="S447" s="198"/>
    </row>
    <row r="448" spans="19:19" ht="15.75" customHeight="1" x14ac:dyDescent="0.25">
      <c r="S448" s="198"/>
    </row>
    <row r="449" spans="19:19" ht="15.75" customHeight="1" x14ac:dyDescent="0.25">
      <c r="S449" s="198"/>
    </row>
    <row r="450" spans="19:19" ht="15.75" customHeight="1" x14ac:dyDescent="0.25">
      <c r="S450" s="198"/>
    </row>
    <row r="451" spans="19:19" ht="15.75" customHeight="1" x14ac:dyDescent="0.25">
      <c r="S451" s="198"/>
    </row>
    <row r="452" spans="19:19" ht="15.75" customHeight="1" x14ac:dyDescent="0.25">
      <c r="S452" s="198"/>
    </row>
    <row r="453" spans="19:19" ht="15.75" customHeight="1" x14ac:dyDescent="0.25">
      <c r="S453" s="198"/>
    </row>
    <row r="454" spans="19:19" ht="15.75" customHeight="1" x14ac:dyDescent="0.25">
      <c r="S454" s="198"/>
    </row>
    <row r="455" spans="19:19" ht="15.75" customHeight="1" x14ac:dyDescent="0.25">
      <c r="S455" s="198"/>
    </row>
    <row r="456" spans="19:19" ht="15.75" customHeight="1" x14ac:dyDescent="0.25">
      <c r="S456" s="198"/>
    </row>
    <row r="457" spans="19:19" ht="15.75" customHeight="1" x14ac:dyDescent="0.25">
      <c r="S457" s="198"/>
    </row>
    <row r="458" spans="19:19" ht="15.75" customHeight="1" x14ac:dyDescent="0.25">
      <c r="S458" s="198"/>
    </row>
    <row r="459" spans="19:19" ht="15.75" customHeight="1" x14ac:dyDescent="0.25">
      <c r="S459" s="198"/>
    </row>
    <row r="460" spans="19:19" ht="15.75" customHeight="1" x14ac:dyDescent="0.25">
      <c r="S460" s="198"/>
    </row>
    <row r="461" spans="19:19" ht="15.75" customHeight="1" x14ac:dyDescent="0.25">
      <c r="S461" s="198"/>
    </row>
    <row r="462" spans="19:19" ht="15.75" customHeight="1" x14ac:dyDescent="0.25">
      <c r="S462" s="198"/>
    </row>
    <row r="463" spans="19:19" ht="15.75" customHeight="1" x14ac:dyDescent="0.25">
      <c r="S463" s="198"/>
    </row>
    <row r="464" spans="19:19" ht="15.75" customHeight="1" x14ac:dyDescent="0.25">
      <c r="S464" s="198"/>
    </row>
    <row r="465" spans="19:19" ht="15.75" customHeight="1" x14ac:dyDescent="0.25">
      <c r="S465" s="198"/>
    </row>
    <row r="466" spans="19:19" ht="15.75" customHeight="1" x14ac:dyDescent="0.25">
      <c r="S466" s="198"/>
    </row>
    <row r="467" spans="19:19" ht="15.75" customHeight="1" x14ac:dyDescent="0.25">
      <c r="S467" s="198"/>
    </row>
    <row r="468" spans="19:19" ht="15.75" customHeight="1" x14ac:dyDescent="0.25">
      <c r="S468" s="198"/>
    </row>
    <row r="469" spans="19:19" ht="15.75" customHeight="1" x14ac:dyDescent="0.25">
      <c r="S469" s="198"/>
    </row>
    <row r="470" spans="19:19" ht="15.75" customHeight="1" x14ac:dyDescent="0.25">
      <c r="S470" s="198"/>
    </row>
    <row r="471" spans="19:19" ht="15.75" customHeight="1" x14ac:dyDescent="0.25">
      <c r="S471" s="198"/>
    </row>
    <row r="472" spans="19:19" ht="15.75" customHeight="1" x14ac:dyDescent="0.25">
      <c r="S472" s="198"/>
    </row>
    <row r="473" spans="19:19" ht="15.75" customHeight="1" x14ac:dyDescent="0.25">
      <c r="S473" s="198"/>
    </row>
    <row r="474" spans="19:19" ht="15.75" customHeight="1" x14ac:dyDescent="0.25">
      <c r="S474" s="198"/>
    </row>
    <row r="475" spans="19:19" ht="15.75" customHeight="1" x14ac:dyDescent="0.25">
      <c r="S475" s="198"/>
    </row>
    <row r="476" spans="19:19" ht="15.75" customHeight="1" x14ac:dyDescent="0.25">
      <c r="S476" s="198"/>
    </row>
    <row r="477" spans="19:19" ht="15.75" customHeight="1" x14ac:dyDescent="0.25">
      <c r="S477" s="198"/>
    </row>
    <row r="478" spans="19:19" ht="15.75" customHeight="1" x14ac:dyDescent="0.25">
      <c r="S478" s="198"/>
    </row>
    <row r="479" spans="19:19" ht="15.75" customHeight="1" x14ac:dyDescent="0.25">
      <c r="S479" s="198"/>
    </row>
    <row r="480" spans="19:19" ht="15.75" customHeight="1" x14ac:dyDescent="0.25">
      <c r="S480" s="198"/>
    </row>
    <row r="481" spans="19:19" ht="15.75" customHeight="1" x14ac:dyDescent="0.25">
      <c r="S481" s="198"/>
    </row>
    <row r="482" spans="19:19" ht="15.75" customHeight="1" x14ac:dyDescent="0.25">
      <c r="S482" s="198"/>
    </row>
    <row r="483" spans="19:19" ht="15.75" customHeight="1" x14ac:dyDescent="0.25">
      <c r="S483" s="198"/>
    </row>
    <row r="484" spans="19:19" ht="15.75" customHeight="1" x14ac:dyDescent="0.25">
      <c r="S484" s="198"/>
    </row>
    <row r="485" spans="19:19" ht="15.75" customHeight="1" x14ac:dyDescent="0.25">
      <c r="S485" s="198"/>
    </row>
    <row r="486" spans="19:19" ht="15.75" customHeight="1" x14ac:dyDescent="0.25">
      <c r="S486" s="198"/>
    </row>
    <row r="487" spans="19:19" ht="15.75" customHeight="1" x14ac:dyDescent="0.25">
      <c r="S487" s="198"/>
    </row>
    <row r="488" spans="19:19" ht="15.75" customHeight="1" x14ac:dyDescent="0.25">
      <c r="S488" s="198"/>
    </row>
    <row r="489" spans="19:19" ht="15.75" customHeight="1" x14ac:dyDescent="0.25">
      <c r="S489" s="198"/>
    </row>
    <row r="490" spans="19:19" ht="15.75" customHeight="1" x14ac:dyDescent="0.25">
      <c r="S490" s="198"/>
    </row>
    <row r="491" spans="19:19" ht="15.75" customHeight="1" x14ac:dyDescent="0.25">
      <c r="S491" s="198"/>
    </row>
    <row r="492" spans="19:19" ht="15.75" customHeight="1" x14ac:dyDescent="0.25">
      <c r="S492" s="198"/>
    </row>
    <row r="493" spans="19:19" ht="15.75" customHeight="1" x14ac:dyDescent="0.25">
      <c r="S493" s="198"/>
    </row>
    <row r="494" spans="19:19" ht="15.75" customHeight="1" x14ac:dyDescent="0.25">
      <c r="S494" s="198"/>
    </row>
    <row r="495" spans="19:19" ht="15.75" customHeight="1" x14ac:dyDescent="0.25">
      <c r="S495" s="198"/>
    </row>
    <row r="496" spans="19:19" ht="15.75" customHeight="1" x14ac:dyDescent="0.25">
      <c r="S496" s="198"/>
    </row>
    <row r="497" spans="19:19" ht="15.75" customHeight="1" x14ac:dyDescent="0.25">
      <c r="S497" s="198"/>
    </row>
    <row r="498" spans="19:19" ht="15.75" customHeight="1" x14ac:dyDescent="0.25">
      <c r="S498" s="198"/>
    </row>
    <row r="499" spans="19:19" ht="15.75" customHeight="1" x14ac:dyDescent="0.25">
      <c r="S499" s="198"/>
    </row>
    <row r="500" spans="19:19" ht="15.75" customHeight="1" x14ac:dyDescent="0.25">
      <c r="S500" s="198"/>
    </row>
    <row r="501" spans="19:19" ht="15.75" customHeight="1" x14ac:dyDescent="0.25">
      <c r="S501" s="198"/>
    </row>
    <row r="502" spans="19:19" ht="15.75" customHeight="1" x14ac:dyDescent="0.25">
      <c r="S502" s="198"/>
    </row>
    <row r="503" spans="19:19" ht="15.75" customHeight="1" x14ac:dyDescent="0.25">
      <c r="S503" s="198"/>
    </row>
    <row r="504" spans="19:19" ht="15.75" customHeight="1" x14ac:dyDescent="0.25">
      <c r="S504" s="198"/>
    </row>
    <row r="505" spans="19:19" ht="15.75" customHeight="1" x14ac:dyDescent="0.25">
      <c r="S505" s="198"/>
    </row>
    <row r="506" spans="19:19" ht="15.75" customHeight="1" x14ac:dyDescent="0.25">
      <c r="S506" s="198"/>
    </row>
    <row r="507" spans="19:19" ht="15.75" customHeight="1" x14ac:dyDescent="0.25">
      <c r="S507" s="198"/>
    </row>
    <row r="508" spans="19:19" ht="15.75" customHeight="1" x14ac:dyDescent="0.25">
      <c r="S508" s="198"/>
    </row>
    <row r="509" spans="19:19" ht="15.75" customHeight="1" x14ac:dyDescent="0.25">
      <c r="S509" s="198"/>
    </row>
    <row r="510" spans="19:19" ht="15.75" customHeight="1" x14ac:dyDescent="0.25">
      <c r="S510" s="198"/>
    </row>
    <row r="511" spans="19:19" ht="15.75" customHeight="1" x14ac:dyDescent="0.25">
      <c r="S511" s="198"/>
    </row>
    <row r="512" spans="19:19" ht="15.75" customHeight="1" x14ac:dyDescent="0.25">
      <c r="S512" s="198"/>
    </row>
    <row r="513" spans="19:19" ht="15.75" customHeight="1" x14ac:dyDescent="0.25">
      <c r="S513" s="198"/>
    </row>
    <row r="514" spans="19:19" ht="15.75" customHeight="1" x14ac:dyDescent="0.25">
      <c r="S514" s="198"/>
    </row>
    <row r="515" spans="19:19" ht="15.75" customHeight="1" x14ac:dyDescent="0.25">
      <c r="S515" s="198"/>
    </row>
    <row r="516" spans="19:19" ht="15.75" customHeight="1" x14ac:dyDescent="0.25">
      <c r="S516" s="198"/>
    </row>
    <row r="517" spans="19:19" ht="15.75" customHeight="1" x14ac:dyDescent="0.25">
      <c r="S517" s="198"/>
    </row>
    <row r="518" spans="19:19" ht="15.75" customHeight="1" x14ac:dyDescent="0.25">
      <c r="S518" s="198"/>
    </row>
    <row r="519" spans="19:19" ht="15.75" customHeight="1" x14ac:dyDescent="0.25">
      <c r="S519" s="198"/>
    </row>
    <row r="520" spans="19:19" ht="15.75" customHeight="1" x14ac:dyDescent="0.25">
      <c r="S520" s="198"/>
    </row>
    <row r="521" spans="19:19" ht="15.75" customHeight="1" x14ac:dyDescent="0.25">
      <c r="S521" s="198"/>
    </row>
    <row r="522" spans="19:19" ht="15.75" customHeight="1" x14ac:dyDescent="0.25">
      <c r="S522" s="198"/>
    </row>
    <row r="523" spans="19:19" ht="15.75" customHeight="1" x14ac:dyDescent="0.25">
      <c r="S523" s="198"/>
    </row>
    <row r="524" spans="19:19" ht="15.75" customHeight="1" x14ac:dyDescent="0.25">
      <c r="S524" s="198"/>
    </row>
    <row r="525" spans="19:19" ht="15.75" customHeight="1" x14ac:dyDescent="0.25">
      <c r="S525" s="198"/>
    </row>
    <row r="526" spans="19:19" ht="15.75" customHeight="1" x14ac:dyDescent="0.25">
      <c r="S526" s="198"/>
    </row>
    <row r="527" spans="19:19" ht="15.75" customHeight="1" x14ac:dyDescent="0.25">
      <c r="S527" s="198"/>
    </row>
    <row r="528" spans="19:19" ht="15.75" customHeight="1" x14ac:dyDescent="0.25">
      <c r="S528" s="198"/>
    </row>
    <row r="529" spans="19:19" ht="15.75" customHeight="1" x14ac:dyDescent="0.25">
      <c r="S529" s="198"/>
    </row>
    <row r="530" spans="19:19" ht="15.75" customHeight="1" x14ac:dyDescent="0.25">
      <c r="S530" s="198"/>
    </row>
    <row r="531" spans="19:19" ht="15.75" customHeight="1" x14ac:dyDescent="0.25">
      <c r="S531" s="198"/>
    </row>
    <row r="532" spans="19:19" ht="15.75" customHeight="1" x14ac:dyDescent="0.25">
      <c r="S532" s="198"/>
    </row>
    <row r="533" spans="19:19" ht="15.75" customHeight="1" x14ac:dyDescent="0.25">
      <c r="S533" s="198"/>
    </row>
    <row r="534" spans="19:19" ht="15.75" customHeight="1" x14ac:dyDescent="0.25">
      <c r="S534" s="198"/>
    </row>
    <row r="535" spans="19:19" ht="15.75" customHeight="1" x14ac:dyDescent="0.25">
      <c r="S535" s="198"/>
    </row>
    <row r="536" spans="19:19" ht="15.75" customHeight="1" x14ac:dyDescent="0.25">
      <c r="S536" s="198"/>
    </row>
    <row r="537" spans="19:19" ht="15.75" customHeight="1" x14ac:dyDescent="0.25">
      <c r="S537" s="198"/>
    </row>
    <row r="538" spans="19:19" ht="15.75" customHeight="1" x14ac:dyDescent="0.25">
      <c r="S538" s="198"/>
    </row>
    <row r="539" spans="19:19" ht="15.75" customHeight="1" x14ac:dyDescent="0.25">
      <c r="S539" s="198"/>
    </row>
    <row r="540" spans="19:19" ht="15.75" customHeight="1" x14ac:dyDescent="0.25">
      <c r="S540" s="198"/>
    </row>
    <row r="541" spans="19:19" ht="15.75" customHeight="1" x14ac:dyDescent="0.25">
      <c r="S541" s="198"/>
    </row>
    <row r="542" spans="19:19" ht="15.75" customHeight="1" x14ac:dyDescent="0.25">
      <c r="S542" s="198"/>
    </row>
    <row r="543" spans="19:19" ht="15.75" customHeight="1" x14ac:dyDescent="0.25">
      <c r="S543" s="198"/>
    </row>
    <row r="544" spans="19:19" ht="15.75" customHeight="1" x14ac:dyDescent="0.25">
      <c r="S544" s="198"/>
    </row>
    <row r="545" spans="19:19" ht="15.75" customHeight="1" x14ac:dyDescent="0.25">
      <c r="S545" s="198"/>
    </row>
    <row r="546" spans="19:19" ht="15.75" customHeight="1" x14ac:dyDescent="0.25">
      <c r="S546" s="198"/>
    </row>
    <row r="547" spans="19:19" ht="15.75" customHeight="1" x14ac:dyDescent="0.25">
      <c r="S547" s="198"/>
    </row>
    <row r="548" spans="19:19" ht="15.75" customHeight="1" x14ac:dyDescent="0.25">
      <c r="S548" s="198"/>
    </row>
    <row r="549" spans="19:19" ht="15.75" customHeight="1" x14ac:dyDescent="0.25">
      <c r="S549" s="198"/>
    </row>
    <row r="550" spans="19:19" ht="15.75" customHeight="1" x14ac:dyDescent="0.25">
      <c r="S550" s="198"/>
    </row>
    <row r="551" spans="19:19" ht="15.75" customHeight="1" x14ac:dyDescent="0.25">
      <c r="S551" s="198"/>
    </row>
    <row r="552" spans="19:19" ht="15.75" customHeight="1" x14ac:dyDescent="0.25">
      <c r="S552" s="198"/>
    </row>
    <row r="553" spans="19:19" ht="15.75" customHeight="1" x14ac:dyDescent="0.25">
      <c r="S553" s="198"/>
    </row>
    <row r="554" spans="19:19" ht="15.75" customHeight="1" x14ac:dyDescent="0.25">
      <c r="S554" s="198"/>
    </row>
    <row r="555" spans="19:19" ht="15.75" customHeight="1" x14ac:dyDescent="0.25">
      <c r="S555" s="198"/>
    </row>
    <row r="556" spans="19:19" ht="15.75" customHeight="1" x14ac:dyDescent="0.25">
      <c r="S556" s="198"/>
    </row>
    <row r="557" spans="19:19" ht="15.75" customHeight="1" x14ac:dyDescent="0.25">
      <c r="S557" s="198"/>
    </row>
    <row r="558" spans="19:19" ht="15.75" customHeight="1" x14ac:dyDescent="0.25">
      <c r="S558" s="198"/>
    </row>
    <row r="559" spans="19:19" ht="15.75" customHeight="1" x14ac:dyDescent="0.25">
      <c r="S559" s="198"/>
    </row>
    <row r="560" spans="19:19" ht="15.75" customHeight="1" x14ac:dyDescent="0.25">
      <c r="S560" s="198"/>
    </row>
    <row r="561" spans="19:19" ht="15.75" customHeight="1" x14ac:dyDescent="0.25">
      <c r="S561" s="198"/>
    </row>
    <row r="562" spans="19:19" ht="15.75" customHeight="1" x14ac:dyDescent="0.25">
      <c r="S562" s="198"/>
    </row>
    <row r="563" spans="19:19" ht="15.75" customHeight="1" x14ac:dyDescent="0.25">
      <c r="S563" s="198"/>
    </row>
    <row r="564" spans="19:19" ht="15.75" customHeight="1" x14ac:dyDescent="0.25">
      <c r="S564" s="198"/>
    </row>
    <row r="565" spans="19:19" ht="15.75" customHeight="1" x14ac:dyDescent="0.25">
      <c r="S565" s="198"/>
    </row>
    <row r="566" spans="19:19" ht="15.75" customHeight="1" x14ac:dyDescent="0.25">
      <c r="S566" s="198"/>
    </row>
    <row r="567" spans="19:19" ht="15.75" customHeight="1" x14ac:dyDescent="0.25">
      <c r="S567" s="198"/>
    </row>
    <row r="568" spans="19:19" ht="15.75" customHeight="1" x14ac:dyDescent="0.25">
      <c r="S568" s="198"/>
    </row>
    <row r="569" spans="19:19" ht="15.75" customHeight="1" x14ac:dyDescent="0.25">
      <c r="S569" s="198"/>
    </row>
    <row r="570" spans="19:19" ht="15.75" customHeight="1" x14ac:dyDescent="0.25">
      <c r="S570" s="198"/>
    </row>
    <row r="571" spans="19:19" ht="15.75" customHeight="1" x14ac:dyDescent="0.25">
      <c r="S571" s="198"/>
    </row>
    <row r="572" spans="19:19" ht="15.75" customHeight="1" x14ac:dyDescent="0.25">
      <c r="S572" s="198"/>
    </row>
    <row r="573" spans="19:19" ht="15.75" customHeight="1" x14ac:dyDescent="0.25">
      <c r="S573" s="198"/>
    </row>
    <row r="574" spans="19:19" ht="15.75" customHeight="1" x14ac:dyDescent="0.25">
      <c r="S574" s="198"/>
    </row>
    <row r="575" spans="19:19" ht="15.75" customHeight="1" x14ac:dyDescent="0.25">
      <c r="S575" s="198"/>
    </row>
    <row r="576" spans="19:19" ht="15.75" customHeight="1" x14ac:dyDescent="0.25">
      <c r="S576" s="198"/>
    </row>
    <row r="577" spans="19:19" ht="15.75" customHeight="1" x14ac:dyDescent="0.25">
      <c r="S577" s="198"/>
    </row>
    <row r="578" spans="19:19" ht="15.75" customHeight="1" x14ac:dyDescent="0.25">
      <c r="S578" s="198"/>
    </row>
    <row r="579" spans="19:19" ht="15.75" customHeight="1" x14ac:dyDescent="0.25">
      <c r="S579" s="198"/>
    </row>
    <row r="580" spans="19:19" ht="15.75" customHeight="1" x14ac:dyDescent="0.25">
      <c r="S580" s="198"/>
    </row>
    <row r="581" spans="19:19" ht="15.75" customHeight="1" x14ac:dyDescent="0.25">
      <c r="S581" s="198"/>
    </row>
    <row r="582" spans="19:19" ht="15.75" customHeight="1" x14ac:dyDescent="0.25">
      <c r="S582" s="198"/>
    </row>
    <row r="583" spans="19:19" ht="15.75" customHeight="1" x14ac:dyDescent="0.25">
      <c r="S583" s="198"/>
    </row>
    <row r="584" spans="19:19" ht="15.75" customHeight="1" x14ac:dyDescent="0.25">
      <c r="S584" s="198"/>
    </row>
    <row r="585" spans="19:19" ht="15.75" customHeight="1" x14ac:dyDescent="0.25">
      <c r="S585" s="198"/>
    </row>
    <row r="586" spans="19:19" ht="15.75" customHeight="1" x14ac:dyDescent="0.25">
      <c r="S586" s="198"/>
    </row>
    <row r="587" spans="19:19" ht="15.75" customHeight="1" x14ac:dyDescent="0.25">
      <c r="S587" s="198"/>
    </row>
    <row r="588" spans="19:19" ht="15.75" customHeight="1" x14ac:dyDescent="0.25">
      <c r="S588" s="198"/>
    </row>
    <row r="589" spans="19:19" ht="15.75" customHeight="1" x14ac:dyDescent="0.25">
      <c r="S589" s="198"/>
    </row>
    <row r="590" spans="19:19" ht="15.75" customHeight="1" x14ac:dyDescent="0.25">
      <c r="S590" s="198"/>
    </row>
    <row r="591" spans="19:19" ht="15.75" customHeight="1" x14ac:dyDescent="0.25">
      <c r="S591" s="198"/>
    </row>
    <row r="592" spans="19:19" ht="15.75" customHeight="1" x14ac:dyDescent="0.25">
      <c r="S592" s="198"/>
    </row>
    <row r="593" spans="19:19" ht="15.75" customHeight="1" x14ac:dyDescent="0.25">
      <c r="S593" s="198"/>
    </row>
    <row r="594" spans="19:19" ht="15.75" customHeight="1" x14ac:dyDescent="0.25">
      <c r="S594" s="198"/>
    </row>
    <row r="595" spans="19:19" ht="15.75" customHeight="1" x14ac:dyDescent="0.25">
      <c r="S595" s="198"/>
    </row>
    <row r="596" spans="19:19" ht="15.75" customHeight="1" x14ac:dyDescent="0.25">
      <c r="S596" s="198"/>
    </row>
    <row r="597" spans="19:19" ht="15.75" customHeight="1" x14ac:dyDescent="0.25">
      <c r="S597" s="198"/>
    </row>
    <row r="598" spans="19:19" ht="15.75" customHeight="1" x14ac:dyDescent="0.25">
      <c r="S598" s="198"/>
    </row>
    <row r="599" spans="19:19" ht="15.75" customHeight="1" x14ac:dyDescent="0.25">
      <c r="S599" s="198"/>
    </row>
    <row r="600" spans="19:19" ht="15.75" customHeight="1" x14ac:dyDescent="0.25">
      <c r="S600" s="198"/>
    </row>
    <row r="601" spans="19:19" ht="15.75" customHeight="1" x14ac:dyDescent="0.25">
      <c r="S601" s="198"/>
    </row>
    <row r="602" spans="19:19" ht="15.75" customHeight="1" x14ac:dyDescent="0.25">
      <c r="S602" s="198"/>
    </row>
    <row r="603" spans="19:19" ht="15.75" customHeight="1" x14ac:dyDescent="0.25">
      <c r="S603" s="198"/>
    </row>
    <row r="604" spans="19:19" ht="15.75" customHeight="1" x14ac:dyDescent="0.25">
      <c r="S604" s="198"/>
    </row>
    <row r="605" spans="19:19" ht="15.75" customHeight="1" x14ac:dyDescent="0.25">
      <c r="S605" s="198"/>
    </row>
    <row r="606" spans="19:19" ht="15.75" customHeight="1" x14ac:dyDescent="0.25">
      <c r="S606" s="198"/>
    </row>
    <row r="607" spans="19:19" ht="15.75" customHeight="1" x14ac:dyDescent="0.25">
      <c r="S607" s="198"/>
    </row>
    <row r="608" spans="19:19" ht="15.75" customHeight="1" x14ac:dyDescent="0.25">
      <c r="S608" s="198"/>
    </row>
    <row r="609" spans="19:19" ht="15.75" customHeight="1" x14ac:dyDescent="0.25">
      <c r="S609" s="198"/>
    </row>
    <row r="610" spans="19:19" ht="15.75" customHeight="1" x14ac:dyDescent="0.25">
      <c r="S610" s="198"/>
    </row>
    <row r="611" spans="19:19" ht="15.75" customHeight="1" x14ac:dyDescent="0.25">
      <c r="S611" s="198"/>
    </row>
    <row r="612" spans="19:19" ht="15.75" customHeight="1" x14ac:dyDescent="0.25">
      <c r="S612" s="198"/>
    </row>
    <row r="613" spans="19:19" ht="15.75" customHeight="1" x14ac:dyDescent="0.25">
      <c r="S613" s="198"/>
    </row>
    <row r="614" spans="19:19" ht="15.75" customHeight="1" x14ac:dyDescent="0.25">
      <c r="S614" s="198"/>
    </row>
    <row r="615" spans="19:19" ht="15.75" customHeight="1" x14ac:dyDescent="0.25">
      <c r="S615" s="198"/>
    </row>
    <row r="616" spans="19:19" ht="15.75" customHeight="1" x14ac:dyDescent="0.25">
      <c r="S616" s="198"/>
    </row>
    <row r="617" spans="19:19" ht="15.75" customHeight="1" x14ac:dyDescent="0.25">
      <c r="S617" s="198"/>
    </row>
    <row r="618" spans="19:19" ht="15.75" customHeight="1" x14ac:dyDescent="0.25">
      <c r="S618" s="198"/>
    </row>
    <row r="619" spans="19:19" ht="15.75" customHeight="1" x14ac:dyDescent="0.25">
      <c r="S619" s="198"/>
    </row>
    <row r="620" spans="19:19" ht="15.75" customHeight="1" x14ac:dyDescent="0.25">
      <c r="S620" s="198"/>
    </row>
    <row r="621" spans="19:19" ht="15.75" customHeight="1" x14ac:dyDescent="0.25">
      <c r="S621" s="198"/>
    </row>
    <row r="622" spans="19:19" ht="15.75" customHeight="1" x14ac:dyDescent="0.25">
      <c r="S622" s="198"/>
    </row>
    <row r="623" spans="19:19" ht="15.75" customHeight="1" x14ac:dyDescent="0.25">
      <c r="S623" s="198"/>
    </row>
    <row r="624" spans="19:19" ht="15.75" customHeight="1" x14ac:dyDescent="0.25">
      <c r="S624" s="198"/>
    </row>
    <row r="625" spans="19:19" ht="15.75" customHeight="1" x14ac:dyDescent="0.25">
      <c r="S625" s="198"/>
    </row>
    <row r="626" spans="19:19" ht="15.75" customHeight="1" x14ac:dyDescent="0.25">
      <c r="S626" s="198"/>
    </row>
    <row r="627" spans="19:19" ht="15.75" customHeight="1" x14ac:dyDescent="0.25">
      <c r="S627" s="198"/>
    </row>
    <row r="628" spans="19:19" ht="15.75" customHeight="1" x14ac:dyDescent="0.25">
      <c r="S628" s="198"/>
    </row>
    <row r="629" spans="19:19" ht="15.75" customHeight="1" x14ac:dyDescent="0.25">
      <c r="S629" s="198"/>
    </row>
    <row r="630" spans="19:19" ht="15.75" customHeight="1" x14ac:dyDescent="0.25">
      <c r="S630" s="198"/>
    </row>
    <row r="631" spans="19:19" ht="15.75" customHeight="1" x14ac:dyDescent="0.25">
      <c r="S631" s="198"/>
    </row>
    <row r="632" spans="19:19" ht="15.75" customHeight="1" x14ac:dyDescent="0.25">
      <c r="S632" s="198"/>
    </row>
    <row r="633" spans="19:19" ht="15.75" customHeight="1" x14ac:dyDescent="0.25">
      <c r="S633" s="198"/>
    </row>
    <row r="634" spans="19:19" ht="15.75" customHeight="1" x14ac:dyDescent="0.25">
      <c r="S634" s="198"/>
    </row>
    <row r="635" spans="19:19" ht="15.75" customHeight="1" x14ac:dyDescent="0.25">
      <c r="S635" s="198"/>
    </row>
    <row r="636" spans="19:19" ht="15.75" customHeight="1" x14ac:dyDescent="0.25">
      <c r="S636" s="198"/>
    </row>
    <row r="637" spans="19:19" ht="15.75" customHeight="1" x14ac:dyDescent="0.25">
      <c r="S637" s="198"/>
    </row>
    <row r="638" spans="19:19" ht="15.75" customHeight="1" x14ac:dyDescent="0.25">
      <c r="S638" s="198"/>
    </row>
    <row r="639" spans="19:19" ht="15.75" customHeight="1" x14ac:dyDescent="0.25">
      <c r="S639" s="198"/>
    </row>
    <row r="640" spans="19:19" ht="15.75" customHeight="1" x14ac:dyDescent="0.25">
      <c r="S640" s="198"/>
    </row>
    <row r="641" spans="19:19" ht="15.75" customHeight="1" x14ac:dyDescent="0.25">
      <c r="S641" s="198"/>
    </row>
    <row r="642" spans="19:19" ht="15.75" customHeight="1" x14ac:dyDescent="0.25">
      <c r="S642" s="198"/>
    </row>
    <row r="643" spans="19:19" ht="15.75" customHeight="1" x14ac:dyDescent="0.25">
      <c r="S643" s="198"/>
    </row>
    <row r="644" spans="19:19" ht="15.75" customHeight="1" x14ac:dyDescent="0.25">
      <c r="S644" s="198"/>
    </row>
    <row r="645" spans="19:19" ht="15.75" customHeight="1" x14ac:dyDescent="0.25">
      <c r="S645" s="198"/>
    </row>
    <row r="646" spans="19:19" ht="15.75" customHeight="1" x14ac:dyDescent="0.25">
      <c r="S646" s="198"/>
    </row>
    <row r="647" spans="19:19" ht="15.75" customHeight="1" x14ac:dyDescent="0.25">
      <c r="S647" s="198"/>
    </row>
    <row r="648" spans="19:19" ht="15.75" customHeight="1" x14ac:dyDescent="0.25">
      <c r="S648" s="198"/>
    </row>
    <row r="649" spans="19:19" ht="15.75" customHeight="1" x14ac:dyDescent="0.25">
      <c r="S649" s="198"/>
    </row>
    <row r="650" spans="19:19" ht="15.75" customHeight="1" x14ac:dyDescent="0.25">
      <c r="S650" s="198"/>
    </row>
    <row r="651" spans="19:19" ht="15.75" customHeight="1" x14ac:dyDescent="0.25">
      <c r="S651" s="198"/>
    </row>
    <row r="652" spans="19:19" ht="15.75" customHeight="1" x14ac:dyDescent="0.25">
      <c r="S652" s="198"/>
    </row>
    <row r="653" spans="19:19" ht="15.75" customHeight="1" x14ac:dyDescent="0.25">
      <c r="S653" s="198"/>
    </row>
    <row r="654" spans="19:19" ht="15.75" customHeight="1" x14ac:dyDescent="0.25">
      <c r="S654" s="198"/>
    </row>
    <row r="655" spans="19:19" ht="15.75" customHeight="1" x14ac:dyDescent="0.25">
      <c r="S655" s="198"/>
    </row>
    <row r="656" spans="19:19" ht="15.75" customHeight="1" x14ac:dyDescent="0.25">
      <c r="S656" s="198"/>
    </row>
    <row r="657" spans="19:19" ht="15.75" customHeight="1" x14ac:dyDescent="0.25">
      <c r="S657" s="198"/>
    </row>
    <row r="658" spans="19:19" ht="15.75" customHeight="1" x14ac:dyDescent="0.25">
      <c r="S658" s="198"/>
    </row>
    <row r="659" spans="19:19" ht="15.75" customHeight="1" x14ac:dyDescent="0.25">
      <c r="S659" s="198"/>
    </row>
    <row r="660" spans="19:19" ht="15.75" customHeight="1" x14ac:dyDescent="0.25">
      <c r="S660" s="198"/>
    </row>
    <row r="661" spans="19:19" ht="15.75" customHeight="1" x14ac:dyDescent="0.25">
      <c r="S661" s="198"/>
    </row>
    <row r="662" spans="19:19" ht="15.75" customHeight="1" x14ac:dyDescent="0.25">
      <c r="S662" s="198"/>
    </row>
    <row r="663" spans="19:19" ht="15.75" customHeight="1" x14ac:dyDescent="0.25">
      <c r="S663" s="198"/>
    </row>
    <row r="664" spans="19:19" ht="15.75" customHeight="1" x14ac:dyDescent="0.25">
      <c r="S664" s="198"/>
    </row>
    <row r="665" spans="19:19" ht="15.75" customHeight="1" x14ac:dyDescent="0.25">
      <c r="S665" s="198"/>
    </row>
    <row r="666" spans="19:19" ht="15.75" customHeight="1" x14ac:dyDescent="0.25">
      <c r="S666" s="198"/>
    </row>
    <row r="667" spans="19:19" ht="15.75" customHeight="1" x14ac:dyDescent="0.25">
      <c r="S667" s="198"/>
    </row>
    <row r="668" spans="19:19" ht="15.75" customHeight="1" x14ac:dyDescent="0.25">
      <c r="S668" s="198"/>
    </row>
    <row r="669" spans="19:19" ht="15.75" customHeight="1" x14ac:dyDescent="0.25">
      <c r="S669" s="198"/>
    </row>
    <row r="670" spans="19:19" ht="15.75" customHeight="1" x14ac:dyDescent="0.25">
      <c r="S670" s="198"/>
    </row>
    <row r="671" spans="19:19" ht="15.75" customHeight="1" x14ac:dyDescent="0.25">
      <c r="S671" s="198"/>
    </row>
    <row r="672" spans="19:19" ht="15.75" customHeight="1" x14ac:dyDescent="0.25">
      <c r="S672" s="198"/>
    </row>
    <row r="673" spans="19:19" ht="15.75" customHeight="1" x14ac:dyDescent="0.25">
      <c r="S673" s="198"/>
    </row>
    <row r="674" spans="19:19" ht="15.75" customHeight="1" x14ac:dyDescent="0.25">
      <c r="S674" s="198"/>
    </row>
    <row r="675" spans="19:19" ht="15.75" customHeight="1" x14ac:dyDescent="0.25">
      <c r="S675" s="198"/>
    </row>
    <row r="676" spans="19:19" ht="15.75" customHeight="1" x14ac:dyDescent="0.25">
      <c r="S676" s="198"/>
    </row>
    <row r="677" spans="19:19" ht="15.75" customHeight="1" x14ac:dyDescent="0.25">
      <c r="S677" s="198"/>
    </row>
    <row r="678" spans="19:19" ht="15.75" customHeight="1" x14ac:dyDescent="0.25">
      <c r="S678" s="198"/>
    </row>
    <row r="679" spans="19:19" ht="15.75" customHeight="1" x14ac:dyDescent="0.25">
      <c r="S679" s="198"/>
    </row>
    <row r="680" spans="19:19" ht="15.75" customHeight="1" x14ac:dyDescent="0.25">
      <c r="S680" s="198"/>
    </row>
    <row r="681" spans="19:19" ht="15.75" customHeight="1" x14ac:dyDescent="0.25">
      <c r="S681" s="198"/>
    </row>
    <row r="682" spans="19:19" ht="15.75" customHeight="1" x14ac:dyDescent="0.25">
      <c r="S682" s="198"/>
    </row>
    <row r="683" spans="19:19" ht="15.75" customHeight="1" x14ac:dyDescent="0.25">
      <c r="S683" s="198"/>
    </row>
    <row r="684" spans="19:19" ht="15.75" customHeight="1" x14ac:dyDescent="0.25">
      <c r="S684" s="198"/>
    </row>
    <row r="685" spans="19:19" ht="15.75" customHeight="1" x14ac:dyDescent="0.25">
      <c r="S685" s="198"/>
    </row>
    <row r="686" spans="19:19" ht="15.75" customHeight="1" x14ac:dyDescent="0.25">
      <c r="S686" s="198"/>
    </row>
    <row r="687" spans="19:19" ht="15.75" customHeight="1" x14ac:dyDescent="0.25">
      <c r="S687" s="198"/>
    </row>
    <row r="688" spans="19:19" ht="15.75" customHeight="1" x14ac:dyDescent="0.25">
      <c r="S688" s="198"/>
    </row>
    <row r="689" spans="19:19" ht="15.75" customHeight="1" x14ac:dyDescent="0.25">
      <c r="S689" s="198"/>
    </row>
    <row r="690" spans="19:19" ht="15.75" customHeight="1" x14ac:dyDescent="0.25">
      <c r="S690" s="198"/>
    </row>
    <row r="691" spans="19:19" ht="15.75" customHeight="1" x14ac:dyDescent="0.25">
      <c r="S691" s="198"/>
    </row>
    <row r="692" spans="19:19" ht="15.75" customHeight="1" x14ac:dyDescent="0.25">
      <c r="S692" s="198"/>
    </row>
    <row r="693" spans="19:19" ht="15.75" customHeight="1" x14ac:dyDescent="0.25">
      <c r="S693" s="198"/>
    </row>
    <row r="694" spans="19:19" ht="15.75" customHeight="1" x14ac:dyDescent="0.25">
      <c r="S694" s="198"/>
    </row>
    <row r="695" spans="19:19" ht="15.75" customHeight="1" x14ac:dyDescent="0.25">
      <c r="S695" s="198"/>
    </row>
    <row r="696" spans="19:19" ht="15.75" customHeight="1" x14ac:dyDescent="0.25">
      <c r="S696" s="198"/>
    </row>
    <row r="697" spans="19:19" ht="15.75" customHeight="1" x14ac:dyDescent="0.25">
      <c r="S697" s="198"/>
    </row>
    <row r="698" spans="19:19" ht="15.75" customHeight="1" x14ac:dyDescent="0.25">
      <c r="S698" s="198"/>
    </row>
    <row r="699" spans="19:19" ht="15.75" customHeight="1" x14ac:dyDescent="0.25">
      <c r="S699" s="198"/>
    </row>
    <row r="700" spans="19:19" ht="15.75" customHeight="1" x14ac:dyDescent="0.25">
      <c r="S700" s="198"/>
    </row>
    <row r="701" spans="19:19" ht="15.75" customHeight="1" x14ac:dyDescent="0.25">
      <c r="S701" s="198"/>
    </row>
    <row r="702" spans="19:19" ht="15.75" customHeight="1" x14ac:dyDescent="0.25">
      <c r="S702" s="198"/>
    </row>
    <row r="703" spans="19:19" ht="15.75" customHeight="1" x14ac:dyDescent="0.25">
      <c r="S703" s="198"/>
    </row>
    <row r="704" spans="19:19" ht="15.75" customHeight="1" x14ac:dyDescent="0.25">
      <c r="S704" s="198"/>
    </row>
    <row r="705" spans="19:19" ht="15.75" customHeight="1" x14ac:dyDescent="0.25">
      <c r="S705" s="198"/>
    </row>
    <row r="706" spans="19:19" ht="15.75" customHeight="1" x14ac:dyDescent="0.25">
      <c r="S706" s="198"/>
    </row>
    <row r="707" spans="19:19" ht="15.75" customHeight="1" x14ac:dyDescent="0.25">
      <c r="S707" s="198"/>
    </row>
    <row r="708" spans="19:19" ht="15.75" customHeight="1" x14ac:dyDescent="0.25">
      <c r="S708" s="198"/>
    </row>
    <row r="709" spans="19:19" ht="15.75" customHeight="1" x14ac:dyDescent="0.25">
      <c r="S709" s="198"/>
    </row>
    <row r="710" spans="19:19" ht="15.75" customHeight="1" x14ac:dyDescent="0.25">
      <c r="S710" s="198"/>
    </row>
    <row r="711" spans="19:19" ht="15.75" customHeight="1" x14ac:dyDescent="0.25">
      <c r="S711" s="198"/>
    </row>
    <row r="712" spans="19:19" ht="15.75" customHeight="1" x14ac:dyDescent="0.25">
      <c r="S712" s="198"/>
    </row>
    <row r="713" spans="19:19" ht="15.75" customHeight="1" x14ac:dyDescent="0.25">
      <c r="S713" s="198"/>
    </row>
    <row r="714" spans="19:19" ht="15.75" customHeight="1" x14ac:dyDescent="0.25">
      <c r="S714" s="198"/>
    </row>
    <row r="715" spans="19:19" ht="15.75" customHeight="1" x14ac:dyDescent="0.25">
      <c r="S715" s="198"/>
    </row>
    <row r="716" spans="19:19" ht="15.75" customHeight="1" x14ac:dyDescent="0.25">
      <c r="S716" s="198"/>
    </row>
    <row r="717" spans="19:19" ht="15.75" customHeight="1" x14ac:dyDescent="0.25">
      <c r="S717" s="198"/>
    </row>
    <row r="718" spans="19:19" ht="15.75" customHeight="1" x14ac:dyDescent="0.25">
      <c r="S718" s="198"/>
    </row>
    <row r="719" spans="19:19" ht="15.75" customHeight="1" x14ac:dyDescent="0.25">
      <c r="S719" s="198"/>
    </row>
    <row r="720" spans="19:19" ht="15.75" customHeight="1" x14ac:dyDescent="0.25">
      <c r="S720" s="198"/>
    </row>
    <row r="721" spans="19:19" ht="15.75" customHeight="1" x14ac:dyDescent="0.25">
      <c r="S721" s="198"/>
    </row>
    <row r="722" spans="19:19" ht="15.75" customHeight="1" x14ac:dyDescent="0.25">
      <c r="S722" s="198"/>
    </row>
    <row r="723" spans="19:19" ht="15.75" customHeight="1" x14ac:dyDescent="0.25">
      <c r="S723" s="198"/>
    </row>
    <row r="724" spans="19:19" ht="15.75" customHeight="1" x14ac:dyDescent="0.25">
      <c r="S724" s="198"/>
    </row>
    <row r="725" spans="19:19" ht="15.75" customHeight="1" x14ac:dyDescent="0.25">
      <c r="S725" s="198"/>
    </row>
    <row r="726" spans="19:19" ht="15.75" customHeight="1" x14ac:dyDescent="0.25">
      <c r="S726" s="198"/>
    </row>
    <row r="727" spans="19:19" ht="15.75" customHeight="1" x14ac:dyDescent="0.25">
      <c r="S727" s="198"/>
    </row>
    <row r="728" spans="19:19" ht="15.75" customHeight="1" x14ac:dyDescent="0.25">
      <c r="S728" s="198"/>
    </row>
    <row r="729" spans="19:19" ht="15.75" customHeight="1" x14ac:dyDescent="0.25">
      <c r="S729" s="198"/>
    </row>
    <row r="730" spans="19:19" ht="15.75" customHeight="1" x14ac:dyDescent="0.25">
      <c r="S730" s="198"/>
    </row>
    <row r="731" spans="19:19" ht="15.75" customHeight="1" x14ac:dyDescent="0.25">
      <c r="S731" s="198"/>
    </row>
    <row r="732" spans="19:19" ht="15.75" customHeight="1" x14ac:dyDescent="0.25">
      <c r="S732" s="198"/>
    </row>
    <row r="733" spans="19:19" ht="15.75" customHeight="1" x14ac:dyDescent="0.25">
      <c r="S733" s="198"/>
    </row>
    <row r="734" spans="19:19" ht="15.75" customHeight="1" x14ac:dyDescent="0.25">
      <c r="S734" s="198"/>
    </row>
    <row r="735" spans="19:19" ht="15.75" customHeight="1" x14ac:dyDescent="0.25">
      <c r="S735" s="198"/>
    </row>
    <row r="736" spans="19:19" ht="15.75" customHeight="1" x14ac:dyDescent="0.25">
      <c r="S736" s="198"/>
    </row>
    <row r="737" spans="19:19" ht="15.75" customHeight="1" x14ac:dyDescent="0.25">
      <c r="S737" s="198"/>
    </row>
    <row r="738" spans="19:19" ht="15.75" customHeight="1" x14ac:dyDescent="0.25">
      <c r="S738" s="198"/>
    </row>
    <row r="739" spans="19:19" ht="15.75" customHeight="1" x14ac:dyDescent="0.25">
      <c r="S739" s="198"/>
    </row>
    <row r="740" spans="19:19" ht="15.75" customHeight="1" x14ac:dyDescent="0.25">
      <c r="S740" s="198"/>
    </row>
    <row r="741" spans="19:19" ht="15.75" customHeight="1" x14ac:dyDescent="0.25">
      <c r="S741" s="198"/>
    </row>
    <row r="742" spans="19:19" ht="15.75" customHeight="1" x14ac:dyDescent="0.25">
      <c r="S742" s="198"/>
    </row>
    <row r="743" spans="19:19" ht="15.75" customHeight="1" x14ac:dyDescent="0.25">
      <c r="S743" s="198"/>
    </row>
    <row r="744" spans="19:19" ht="15.75" customHeight="1" x14ac:dyDescent="0.25">
      <c r="S744" s="198"/>
    </row>
    <row r="745" spans="19:19" ht="15.75" customHeight="1" x14ac:dyDescent="0.25">
      <c r="S745" s="198"/>
    </row>
    <row r="746" spans="19:19" ht="15.75" customHeight="1" x14ac:dyDescent="0.25">
      <c r="S746" s="198"/>
    </row>
    <row r="747" spans="19:19" ht="15.75" customHeight="1" x14ac:dyDescent="0.25">
      <c r="S747" s="198"/>
    </row>
    <row r="748" spans="19:19" ht="15.75" customHeight="1" x14ac:dyDescent="0.25">
      <c r="S748" s="198"/>
    </row>
    <row r="749" spans="19:19" ht="15.75" customHeight="1" x14ac:dyDescent="0.25">
      <c r="S749" s="198"/>
    </row>
    <row r="750" spans="19:19" ht="15.75" customHeight="1" x14ac:dyDescent="0.25">
      <c r="S750" s="198"/>
    </row>
    <row r="751" spans="19:19" ht="15.75" customHeight="1" x14ac:dyDescent="0.25">
      <c r="S751" s="198"/>
    </row>
    <row r="752" spans="19:19" ht="15.75" customHeight="1" x14ac:dyDescent="0.25">
      <c r="S752" s="198"/>
    </row>
    <row r="753" spans="19:19" ht="15.75" customHeight="1" x14ac:dyDescent="0.25">
      <c r="S753" s="198"/>
    </row>
    <row r="754" spans="19:19" ht="15.75" customHeight="1" x14ac:dyDescent="0.25">
      <c r="S754" s="198"/>
    </row>
    <row r="755" spans="19:19" ht="15.75" customHeight="1" x14ac:dyDescent="0.25">
      <c r="S755" s="198"/>
    </row>
    <row r="756" spans="19:19" ht="15.75" customHeight="1" x14ac:dyDescent="0.25">
      <c r="S756" s="198"/>
    </row>
    <row r="757" spans="19:19" ht="15.75" customHeight="1" x14ac:dyDescent="0.25">
      <c r="S757" s="198"/>
    </row>
    <row r="758" spans="19:19" ht="15.75" customHeight="1" x14ac:dyDescent="0.25">
      <c r="S758" s="198"/>
    </row>
    <row r="759" spans="19:19" ht="15.75" customHeight="1" x14ac:dyDescent="0.25">
      <c r="S759" s="198"/>
    </row>
    <row r="760" spans="19:19" ht="15.75" customHeight="1" x14ac:dyDescent="0.25">
      <c r="S760" s="198"/>
    </row>
    <row r="761" spans="19:19" ht="15.75" customHeight="1" x14ac:dyDescent="0.25">
      <c r="S761" s="198"/>
    </row>
    <row r="762" spans="19:19" ht="15.75" customHeight="1" x14ac:dyDescent="0.25">
      <c r="S762" s="198"/>
    </row>
    <row r="763" spans="19:19" ht="15.75" customHeight="1" x14ac:dyDescent="0.25">
      <c r="S763" s="198"/>
    </row>
    <row r="764" spans="19:19" ht="15.75" customHeight="1" x14ac:dyDescent="0.25">
      <c r="S764" s="198"/>
    </row>
    <row r="765" spans="19:19" ht="15.75" customHeight="1" x14ac:dyDescent="0.25">
      <c r="S765" s="198"/>
    </row>
    <row r="766" spans="19:19" ht="15.75" customHeight="1" x14ac:dyDescent="0.25">
      <c r="S766" s="198"/>
    </row>
    <row r="767" spans="19:19" ht="15.75" customHeight="1" x14ac:dyDescent="0.25">
      <c r="S767" s="198"/>
    </row>
    <row r="768" spans="19:19" ht="15.75" customHeight="1" x14ac:dyDescent="0.25">
      <c r="S768" s="198"/>
    </row>
    <row r="769" spans="19:19" ht="15.75" customHeight="1" x14ac:dyDescent="0.25">
      <c r="S769" s="198"/>
    </row>
    <row r="770" spans="19:19" ht="15.75" customHeight="1" x14ac:dyDescent="0.25">
      <c r="S770" s="198"/>
    </row>
    <row r="771" spans="19:19" ht="15.75" customHeight="1" x14ac:dyDescent="0.25">
      <c r="S771" s="198"/>
    </row>
    <row r="772" spans="19:19" ht="15.75" customHeight="1" x14ac:dyDescent="0.25">
      <c r="S772" s="198"/>
    </row>
    <row r="773" spans="19:19" ht="15.75" customHeight="1" x14ac:dyDescent="0.25">
      <c r="S773" s="198"/>
    </row>
    <row r="774" spans="19:19" ht="15.75" customHeight="1" x14ac:dyDescent="0.25">
      <c r="S774" s="198"/>
    </row>
    <row r="775" spans="19:19" ht="15.75" customHeight="1" x14ac:dyDescent="0.25">
      <c r="S775" s="198"/>
    </row>
    <row r="776" spans="19:19" ht="15.75" customHeight="1" x14ac:dyDescent="0.25">
      <c r="S776" s="198"/>
    </row>
    <row r="777" spans="19:19" ht="15.75" customHeight="1" x14ac:dyDescent="0.25">
      <c r="S777" s="198"/>
    </row>
    <row r="778" spans="19:19" ht="15.75" customHeight="1" x14ac:dyDescent="0.25">
      <c r="S778" s="198"/>
    </row>
    <row r="779" spans="19:19" ht="15.75" customHeight="1" x14ac:dyDescent="0.25">
      <c r="S779" s="198"/>
    </row>
    <row r="780" spans="19:19" ht="15.75" customHeight="1" x14ac:dyDescent="0.25">
      <c r="S780" s="198"/>
    </row>
    <row r="781" spans="19:19" ht="15.75" customHeight="1" x14ac:dyDescent="0.25">
      <c r="S781" s="198"/>
    </row>
    <row r="782" spans="19:19" ht="15.75" customHeight="1" x14ac:dyDescent="0.25">
      <c r="S782" s="198"/>
    </row>
    <row r="783" spans="19:19" ht="15.75" customHeight="1" x14ac:dyDescent="0.25">
      <c r="S783" s="198"/>
    </row>
    <row r="784" spans="19:19" ht="15.75" customHeight="1" x14ac:dyDescent="0.25">
      <c r="S784" s="198"/>
    </row>
    <row r="785" spans="19:19" ht="15.75" customHeight="1" x14ac:dyDescent="0.25">
      <c r="S785" s="198"/>
    </row>
    <row r="786" spans="19:19" ht="15.75" customHeight="1" x14ac:dyDescent="0.25">
      <c r="S786" s="198"/>
    </row>
    <row r="787" spans="19:19" ht="15.75" customHeight="1" x14ac:dyDescent="0.25">
      <c r="S787" s="198"/>
    </row>
    <row r="788" spans="19:19" ht="15.75" customHeight="1" x14ac:dyDescent="0.25">
      <c r="S788" s="198"/>
    </row>
    <row r="789" spans="19:19" ht="15.75" customHeight="1" x14ac:dyDescent="0.25">
      <c r="S789" s="198"/>
    </row>
    <row r="790" spans="19:19" ht="15.75" customHeight="1" x14ac:dyDescent="0.25">
      <c r="S790" s="198"/>
    </row>
    <row r="791" spans="19:19" ht="15.75" customHeight="1" x14ac:dyDescent="0.25">
      <c r="S791" s="198"/>
    </row>
    <row r="792" spans="19:19" ht="15.75" customHeight="1" x14ac:dyDescent="0.25">
      <c r="S792" s="198"/>
    </row>
    <row r="793" spans="19:19" ht="15.75" customHeight="1" x14ac:dyDescent="0.25">
      <c r="S793" s="198"/>
    </row>
    <row r="794" spans="19:19" ht="15.75" customHeight="1" x14ac:dyDescent="0.25">
      <c r="S794" s="198"/>
    </row>
    <row r="795" spans="19:19" ht="15.75" customHeight="1" x14ac:dyDescent="0.25">
      <c r="S795" s="198"/>
    </row>
    <row r="796" spans="19:19" ht="15.75" customHeight="1" x14ac:dyDescent="0.25">
      <c r="S796" s="198"/>
    </row>
    <row r="797" spans="19:19" ht="15.75" customHeight="1" x14ac:dyDescent="0.25">
      <c r="S797" s="198"/>
    </row>
    <row r="798" spans="19:19" ht="15.75" customHeight="1" x14ac:dyDescent="0.25">
      <c r="S798" s="198"/>
    </row>
    <row r="799" spans="19:19" ht="15.75" customHeight="1" x14ac:dyDescent="0.25">
      <c r="S799" s="198"/>
    </row>
    <row r="800" spans="19:19" ht="15.75" customHeight="1" x14ac:dyDescent="0.25">
      <c r="S800" s="198"/>
    </row>
    <row r="801" spans="19:19" ht="15.75" customHeight="1" x14ac:dyDescent="0.25">
      <c r="S801" s="198"/>
    </row>
    <row r="802" spans="19:19" ht="15.75" customHeight="1" x14ac:dyDescent="0.25">
      <c r="S802" s="198"/>
    </row>
    <row r="803" spans="19:19" ht="15.75" customHeight="1" x14ac:dyDescent="0.25">
      <c r="S803" s="198"/>
    </row>
    <row r="804" spans="19:19" ht="15.75" customHeight="1" x14ac:dyDescent="0.25">
      <c r="S804" s="198"/>
    </row>
    <row r="805" spans="19:19" ht="15.75" customHeight="1" x14ac:dyDescent="0.25">
      <c r="S805" s="198"/>
    </row>
    <row r="806" spans="19:19" ht="15.75" customHeight="1" x14ac:dyDescent="0.25">
      <c r="S806" s="198"/>
    </row>
    <row r="807" spans="19:19" ht="15.75" customHeight="1" x14ac:dyDescent="0.25">
      <c r="S807" s="198"/>
    </row>
    <row r="808" spans="19:19" ht="15.75" customHeight="1" x14ac:dyDescent="0.25">
      <c r="S808" s="198"/>
    </row>
    <row r="809" spans="19:19" ht="15.75" customHeight="1" x14ac:dyDescent="0.25">
      <c r="S809" s="198"/>
    </row>
    <row r="810" spans="19:19" ht="15.75" customHeight="1" x14ac:dyDescent="0.25">
      <c r="S810" s="198"/>
    </row>
    <row r="811" spans="19:19" ht="15.75" customHeight="1" x14ac:dyDescent="0.25">
      <c r="S811" s="198"/>
    </row>
    <row r="812" spans="19:19" ht="15.75" customHeight="1" x14ac:dyDescent="0.25">
      <c r="S812" s="198"/>
    </row>
    <row r="813" spans="19:19" ht="15.75" customHeight="1" x14ac:dyDescent="0.25">
      <c r="S813" s="198"/>
    </row>
    <row r="814" spans="19:19" ht="15.75" customHeight="1" x14ac:dyDescent="0.25">
      <c r="S814" s="198"/>
    </row>
    <row r="815" spans="19:19" ht="15.75" customHeight="1" x14ac:dyDescent="0.25">
      <c r="S815" s="198"/>
    </row>
    <row r="816" spans="19:19" ht="15.75" customHeight="1" x14ac:dyDescent="0.25">
      <c r="S816" s="198"/>
    </row>
    <row r="817" spans="19:19" ht="15.75" customHeight="1" x14ac:dyDescent="0.25">
      <c r="S817" s="198"/>
    </row>
    <row r="818" spans="19:19" ht="15.75" customHeight="1" x14ac:dyDescent="0.25">
      <c r="S818" s="198"/>
    </row>
    <row r="819" spans="19:19" ht="15.75" customHeight="1" x14ac:dyDescent="0.25">
      <c r="S819" s="198"/>
    </row>
    <row r="820" spans="19:19" ht="15.75" customHeight="1" x14ac:dyDescent="0.25">
      <c r="S820" s="198"/>
    </row>
    <row r="821" spans="19:19" ht="15.75" customHeight="1" x14ac:dyDescent="0.25">
      <c r="S821" s="198"/>
    </row>
    <row r="822" spans="19:19" ht="15.75" customHeight="1" x14ac:dyDescent="0.25">
      <c r="S822" s="198"/>
    </row>
    <row r="823" spans="19:19" ht="15.75" customHeight="1" x14ac:dyDescent="0.25">
      <c r="S823" s="198"/>
    </row>
    <row r="824" spans="19:19" ht="15.75" customHeight="1" x14ac:dyDescent="0.25">
      <c r="S824" s="198"/>
    </row>
    <row r="825" spans="19:19" ht="15.75" customHeight="1" x14ac:dyDescent="0.25">
      <c r="S825" s="198"/>
    </row>
    <row r="826" spans="19:19" ht="15.75" customHeight="1" x14ac:dyDescent="0.25">
      <c r="S826" s="198"/>
    </row>
    <row r="827" spans="19:19" ht="15.75" customHeight="1" x14ac:dyDescent="0.25">
      <c r="S827" s="198"/>
    </row>
    <row r="828" spans="19:19" ht="15.75" customHeight="1" x14ac:dyDescent="0.25">
      <c r="S828" s="198"/>
    </row>
    <row r="829" spans="19:19" ht="15.75" customHeight="1" x14ac:dyDescent="0.25">
      <c r="S829" s="198"/>
    </row>
    <row r="830" spans="19:19" ht="15.75" customHeight="1" x14ac:dyDescent="0.25">
      <c r="S830" s="198"/>
    </row>
    <row r="831" spans="19:19" ht="15.75" customHeight="1" x14ac:dyDescent="0.25">
      <c r="S831" s="198"/>
    </row>
    <row r="832" spans="19:19" ht="15.75" customHeight="1" x14ac:dyDescent="0.25">
      <c r="S832" s="198"/>
    </row>
    <row r="833" spans="19:19" ht="15.75" customHeight="1" x14ac:dyDescent="0.25">
      <c r="S833" s="198"/>
    </row>
    <row r="834" spans="19:19" ht="15.75" customHeight="1" x14ac:dyDescent="0.25">
      <c r="S834" s="198"/>
    </row>
    <row r="835" spans="19:19" ht="15.75" customHeight="1" x14ac:dyDescent="0.25">
      <c r="S835" s="198"/>
    </row>
    <row r="836" spans="19:19" ht="15.75" customHeight="1" x14ac:dyDescent="0.25">
      <c r="S836" s="198"/>
    </row>
    <row r="837" spans="19:19" ht="15.75" customHeight="1" x14ac:dyDescent="0.25">
      <c r="S837" s="198"/>
    </row>
    <row r="838" spans="19:19" ht="15.75" customHeight="1" x14ac:dyDescent="0.25">
      <c r="S838" s="198"/>
    </row>
    <row r="839" spans="19:19" ht="15.75" customHeight="1" x14ac:dyDescent="0.25">
      <c r="S839" s="198"/>
    </row>
    <row r="840" spans="19:19" ht="15.75" customHeight="1" x14ac:dyDescent="0.25">
      <c r="S840" s="198"/>
    </row>
    <row r="841" spans="19:19" ht="15.75" customHeight="1" x14ac:dyDescent="0.25">
      <c r="S841" s="198"/>
    </row>
    <row r="842" spans="19:19" ht="15.75" customHeight="1" x14ac:dyDescent="0.25">
      <c r="S842" s="198"/>
    </row>
    <row r="843" spans="19:19" ht="15.75" customHeight="1" x14ac:dyDescent="0.25">
      <c r="S843" s="198"/>
    </row>
    <row r="844" spans="19:19" ht="15.75" customHeight="1" x14ac:dyDescent="0.25">
      <c r="S844" s="198"/>
    </row>
    <row r="845" spans="19:19" ht="15.75" customHeight="1" x14ac:dyDescent="0.25">
      <c r="S845" s="198"/>
    </row>
    <row r="846" spans="19:19" ht="15.75" customHeight="1" x14ac:dyDescent="0.25">
      <c r="S846" s="198"/>
    </row>
    <row r="847" spans="19:19" ht="15.75" customHeight="1" x14ac:dyDescent="0.25">
      <c r="S847" s="198"/>
    </row>
    <row r="848" spans="19:19" ht="15.75" customHeight="1" x14ac:dyDescent="0.25">
      <c r="S848" s="198"/>
    </row>
    <row r="849" spans="19:19" ht="15.75" customHeight="1" x14ac:dyDescent="0.25">
      <c r="S849" s="198"/>
    </row>
    <row r="850" spans="19:19" ht="15.75" customHeight="1" x14ac:dyDescent="0.25">
      <c r="S850" s="198"/>
    </row>
    <row r="851" spans="19:19" ht="15.75" customHeight="1" x14ac:dyDescent="0.25">
      <c r="S851" s="198"/>
    </row>
    <row r="852" spans="19:19" ht="15.75" customHeight="1" x14ac:dyDescent="0.25">
      <c r="S852" s="198"/>
    </row>
    <row r="853" spans="19:19" ht="15.75" customHeight="1" x14ac:dyDescent="0.25">
      <c r="S853" s="198"/>
    </row>
    <row r="854" spans="19:19" ht="15.75" customHeight="1" x14ac:dyDescent="0.25">
      <c r="S854" s="198"/>
    </row>
    <row r="855" spans="19:19" ht="15.75" customHeight="1" x14ac:dyDescent="0.25">
      <c r="S855" s="198"/>
    </row>
    <row r="856" spans="19:19" ht="15.75" customHeight="1" x14ac:dyDescent="0.25">
      <c r="S856" s="198"/>
    </row>
    <row r="857" spans="19:19" ht="15.75" customHeight="1" x14ac:dyDescent="0.25">
      <c r="S857" s="198"/>
    </row>
    <row r="858" spans="19:19" ht="15.75" customHeight="1" x14ac:dyDescent="0.25">
      <c r="S858" s="198"/>
    </row>
    <row r="859" spans="19:19" ht="15.75" customHeight="1" x14ac:dyDescent="0.25">
      <c r="S859" s="198"/>
    </row>
    <row r="860" spans="19:19" ht="15.75" customHeight="1" x14ac:dyDescent="0.25">
      <c r="S860" s="198"/>
    </row>
    <row r="861" spans="19:19" ht="15.75" customHeight="1" x14ac:dyDescent="0.25">
      <c r="S861" s="198"/>
    </row>
    <row r="862" spans="19:19" ht="15.75" customHeight="1" x14ac:dyDescent="0.25">
      <c r="S862" s="198"/>
    </row>
    <row r="863" spans="19:19" ht="15.75" customHeight="1" x14ac:dyDescent="0.25">
      <c r="S863" s="198"/>
    </row>
    <row r="864" spans="19:19" ht="15.75" customHeight="1" x14ac:dyDescent="0.25">
      <c r="S864" s="198"/>
    </row>
    <row r="865" spans="19:19" ht="15.75" customHeight="1" x14ac:dyDescent="0.25">
      <c r="S865" s="198"/>
    </row>
    <row r="866" spans="19:19" ht="15.75" customHeight="1" x14ac:dyDescent="0.25">
      <c r="S866" s="198"/>
    </row>
    <row r="867" spans="19:19" ht="15.75" customHeight="1" x14ac:dyDescent="0.25">
      <c r="S867" s="198"/>
    </row>
    <row r="868" spans="19:19" ht="15.75" customHeight="1" x14ac:dyDescent="0.25">
      <c r="S868" s="198"/>
    </row>
    <row r="869" spans="19:19" ht="15.75" customHeight="1" x14ac:dyDescent="0.25">
      <c r="S869" s="198"/>
    </row>
    <row r="870" spans="19:19" ht="15.75" customHeight="1" x14ac:dyDescent="0.25">
      <c r="S870" s="198"/>
    </row>
    <row r="871" spans="19:19" ht="15.75" customHeight="1" x14ac:dyDescent="0.25">
      <c r="S871" s="198"/>
    </row>
    <row r="872" spans="19:19" ht="15.75" customHeight="1" x14ac:dyDescent="0.25">
      <c r="S872" s="198"/>
    </row>
    <row r="873" spans="19:19" ht="15.75" customHeight="1" x14ac:dyDescent="0.25">
      <c r="S873" s="198"/>
    </row>
    <row r="874" spans="19:19" ht="15.75" customHeight="1" x14ac:dyDescent="0.25">
      <c r="S874" s="198"/>
    </row>
    <row r="875" spans="19:19" ht="15.75" customHeight="1" x14ac:dyDescent="0.25">
      <c r="S875" s="198"/>
    </row>
    <row r="876" spans="19:19" ht="15.75" customHeight="1" x14ac:dyDescent="0.25">
      <c r="S876" s="198"/>
    </row>
    <row r="877" spans="19:19" ht="15.75" customHeight="1" x14ac:dyDescent="0.25">
      <c r="S877" s="198"/>
    </row>
    <row r="878" spans="19:19" ht="15.75" customHeight="1" x14ac:dyDescent="0.25">
      <c r="S878" s="198"/>
    </row>
    <row r="879" spans="19:19" ht="15.75" customHeight="1" x14ac:dyDescent="0.25">
      <c r="S879" s="198"/>
    </row>
    <row r="880" spans="19:19" ht="15.75" customHeight="1" x14ac:dyDescent="0.25">
      <c r="S880" s="198"/>
    </row>
    <row r="881" spans="19:19" ht="15.75" customHeight="1" x14ac:dyDescent="0.25">
      <c r="S881" s="198"/>
    </row>
    <row r="882" spans="19:19" ht="15.75" customHeight="1" x14ac:dyDescent="0.25">
      <c r="S882" s="198"/>
    </row>
    <row r="883" spans="19:19" ht="15.75" customHeight="1" x14ac:dyDescent="0.25">
      <c r="S883" s="198"/>
    </row>
    <row r="884" spans="19:19" ht="15.75" customHeight="1" x14ac:dyDescent="0.25">
      <c r="S884" s="198"/>
    </row>
    <row r="885" spans="19:19" ht="15.75" customHeight="1" x14ac:dyDescent="0.25">
      <c r="S885" s="198"/>
    </row>
    <row r="886" spans="19:19" ht="15.75" customHeight="1" x14ac:dyDescent="0.25">
      <c r="S886" s="198"/>
    </row>
    <row r="887" spans="19:19" ht="15.75" customHeight="1" x14ac:dyDescent="0.25">
      <c r="S887" s="198"/>
    </row>
    <row r="888" spans="19:19" ht="15.75" customHeight="1" x14ac:dyDescent="0.25">
      <c r="S888" s="198"/>
    </row>
    <row r="889" spans="19:19" ht="15.75" customHeight="1" x14ac:dyDescent="0.25">
      <c r="S889" s="198"/>
    </row>
    <row r="890" spans="19:19" ht="15.75" customHeight="1" x14ac:dyDescent="0.25">
      <c r="S890" s="198"/>
    </row>
    <row r="891" spans="19:19" ht="15.75" customHeight="1" x14ac:dyDescent="0.25">
      <c r="S891" s="198"/>
    </row>
    <row r="892" spans="19:19" ht="15.75" customHeight="1" x14ac:dyDescent="0.25">
      <c r="S892" s="198"/>
    </row>
    <row r="893" spans="19:19" ht="15.75" customHeight="1" x14ac:dyDescent="0.25">
      <c r="S893" s="198"/>
    </row>
    <row r="894" spans="19:19" ht="15.75" customHeight="1" x14ac:dyDescent="0.25">
      <c r="S894" s="198"/>
    </row>
    <row r="895" spans="19:19" ht="15.75" customHeight="1" x14ac:dyDescent="0.25">
      <c r="S895" s="198"/>
    </row>
    <row r="896" spans="19:19" ht="15.75" customHeight="1" x14ac:dyDescent="0.25">
      <c r="S896" s="198"/>
    </row>
    <row r="897" spans="19:19" ht="15.75" customHeight="1" x14ac:dyDescent="0.25">
      <c r="S897" s="198"/>
    </row>
    <row r="898" spans="19:19" ht="15.75" customHeight="1" x14ac:dyDescent="0.25">
      <c r="S898" s="198"/>
    </row>
    <row r="899" spans="19:19" ht="15.75" customHeight="1" x14ac:dyDescent="0.25">
      <c r="S899" s="198"/>
    </row>
    <row r="900" spans="19:19" ht="15.75" customHeight="1" x14ac:dyDescent="0.25">
      <c r="S900" s="198"/>
    </row>
    <row r="901" spans="19:19" ht="15.75" customHeight="1" x14ac:dyDescent="0.25">
      <c r="S901" s="198"/>
    </row>
    <row r="902" spans="19:19" ht="15.75" customHeight="1" x14ac:dyDescent="0.25">
      <c r="S902" s="198"/>
    </row>
    <row r="903" spans="19:19" ht="15.75" customHeight="1" x14ac:dyDescent="0.25">
      <c r="S903" s="198"/>
    </row>
    <row r="904" spans="19:19" ht="15.75" customHeight="1" x14ac:dyDescent="0.25">
      <c r="S904" s="198"/>
    </row>
    <row r="905" spans="19:19" ht="15.75" customHeight="1" x14ac:dyDescent="0.25">
      <c r="S905" s="198"/>
    </row>
    <row r="906" spans="19:19" ht="15.75" customHeight="1" x14ac:dyDescent="0.25">
      <c r="S906" s="198"/>
    </row>
    <row r="907" spans="19:19" ht="15.75" customHeight="1" x14ac:dyDescent="0.25">
      <c r="S907" s="198"/>
    </row>
    <row r="908" spans="19:19" ht="15.75" customHeight="1" x14ac:dyDescent="0.25">
      <c r="S908" s="198"/>
    </row>
    <row r="909" spans="19:19" ht="15.75" customHeight="1" x14ac:dyDescent="0.25">
      <c r="S909" s="198"/>
    </row>
    <row r="910" spans="19:19" ht="15.75" customHeight="1" x14ac:dyDescent="0.25">
      <c r="S910" s="198"/>
    </row>
    <row r="911" spans="19:19" ht="15.75" customHeight="1" x14ac:dyDescent="0.25">
      <c r="S911" s="198"/>
    </row>
    <row r="912" spans="19:19" ht="15.75" customHeight="1" x14ac:dyDescent="0.25">
      <c r="S912" s="198"/>
    </row>
    <row r="913" spans="19:19" ht="15.75" customHeight="1" x14ac:dyDescent="0.25">
      <c r="S913" s="198"/>
    </row>
    <row r="914" spans="19:19" ht="15.75" customHeight="1" x14ac:dyDescent="0.25">
      <c r="S914" s="198"/>
    </row>
    <row r="915" spans="19:19" ht="15.75" customHeight="1" x14ac:dyDescent="0.25">
      <c r="S915" s="198"/>
    </row>
    <row r="916" spans="19:19" ht="15.75" customHeight="1" x14ac:dyDescent="0.25">
      <c r="S916" s="198"/>
    </row>
    <row r="917" spans="19:19" ht="15.75" customHeight="1" x14ac:dyDescent="0.25">
      <c r="S917" s="198"/>
    </row>
    <row r="918" spans="19:19" ht="15.75" customHeight="1" x14ac:dyDescent="0.25">
      <c r="S918" s="198"/>
    </row>
    <row r="919" spans="19:19" ht="15.75" customHeight="1" x14ac:dyDescent="0.25">
      <c r="S919" s="198"/>
    </row>
    <row r="920" spans="19:19" ht="15.75" customHeight="1" x14ac:dyDescent="0.25">
      <c r="S920" s="198"/>
    </row>
    <row r="921" spans="19:19" ht="15.75" customHeight="1" x14ac:dyDescent="0.25">
      <c r="S921" s="198"/>
    </row>
    <row r="922" spans="19:19" ht="15.75" customHeight="1" x14ac:dyDescent="0.25">
      <c r="S922" s="198"/>
    </row>
    <row r="923" spans="19:19" ht="15.75" customHeight="1" x14ac:dyDescent="0.25">
      <c r="S923" s="198"/>
    </row>
    <row r="924" spans="19:19" ht="15.75" customHeight="1" x14ac:dyDescent="0.25">
      <c r="S924" s="198"/>
    </row>
    <row r="925" spans="19:19" ht="15.75" customHeight="1" x14ac:dyDescent="0.25">
      <c r="S925" s="198"/>
    </row>
    <row r="926" spans="19:19" ht="15.75" customHeight="1" x14ac:dyDescent="0.25">
      <c r="S926" s="198"/>
    </row>
    <row r="927" spans="19:19" ht="15.75" customHeight="1" x14ac:dyDescent="0.25">
      <c r="S927" s="198"/>
    </row>
    <row r="928" spans="19:19" ht="15.75" customHeight="1" x14ac:dyDescent="0.25">
      <c r="S928" s="198"/>
    </row>
    <row r="929" spans="19:19" ht="15.75" customHeight="1" x14ac:dyDescent="0.25">
      <c r="S929" s="198"/>
    </row>
    <row r="930" spans="19:19" ht="15.75" customHeight="1" x14ac:dyDescent="0.25">
      <c r="S930" s="198"/>
    </row>
    <row r="931" spans="19:19" ht="15.75" customHeight="1" x14ac:dyDescent="0.25">
      <c r="S931" s="198"/>
    </row>
    <row r="932" spans="19:19" ht="15.75" customHeight="1" x14ac:dyDescent="0.25">
      <c r="S932" s="198"/>
    </row>
    <row r="933" spans="19:19" ht="15.75" customHeight="1" x14ac:dyDescent="0.25">
      <c r="S933" s="198"/>
    </row>
    <row r="934" spans="19:19" ht="15.75" customHeight="1" x14ac:dyDescent="0.25">
      <c r="S934" s="198"/>
    </row>
    <row r="935" spans="19:19" ht="15.75" customHeight="1" x14ac:dyDescent="0.25">
      <c r="S935" s="198"/>
    </row>
    <row r="936" spans="19:19" ht="15.75" customHeight="1" x14ac:dyDescent="0.25">
      <c r="S936" s="198"/>
    </row>
    <row r="937" spans="19:19" ht="15.75" customHeight="1" x14ac:dyDescent="0.25">
      <c r="S937" s="198"/>
    </row>
    <row r="938" spans="19:19" ht="15.75" customHeight="1" x14ac:dyDescent="0.25">
      <c r="S938" s="198"/>
    </row>
    <row r="939" spans="19:19" ht="15.75" customHeight="1" x14ac:dyDescent="0.25">
      <c r="S939" s="198"/>
    </row>
    <row r="940" spans="19:19" ht="15.75" customHeight="1" x14ac:dyDescent="0.25">
      <c r="S940" s="198"/>
    </row>
    <row r="941" spans="19:19" ht="15.75" customHeight="1" x14ac:dyDescent="0.25">
      <c r="S941" s="198"/>
    </row>
    <row r="942" spans="19:19" ht="15.75" customHeight="1" x14ac:dyDescent="0.25">
      <c r="S942" s="198"/>
    </row>
    <row r="943" spans="19:19" ht="15.75" customHeight="1" x14ac:dyDescent="0.25">
      <c r="S943" s="198"/>
    </row>
    <row r="944" spans="19:19" ht="15.75" customHeight="1" x14ac:dyDescent="0.25">
      <c r="S944" s="198"/>
    </row>
    <row r="945" spans="19:19" ht="15.75" customHeight="1" x14ac:dyDescent="0.25">
      <c r="S945" s="198"/>
    </row>
    <row r="946" spans="19:19" ht="15.75" customHeight="1" x14ac:dyDescent="0.25">
      <c r="S946" s="198"/>
    </row>
    <row r="947" spans="19:19" ht="15.75" customHeight="1" x14ac:dyDescent="0.25">
      <c r="S947" s="198"/>
    </row>
    <row r="948" spans="19:19" ht="15.75" customHeight="1" x14ac:dyDescent="0.25">
      <c r="S948" s="198"/>
    </row>
    <row r="949" spans="19:19" ht="15.75" customHeight="1" x14ac:dyDescent="0.25">
      <c r="S949" s="198"/>
    </row>
    <row r="950" spans="19:19" ht="15.75" customHeight="1" x14ac:dyDescent="0.25">
      <c r="S950" s="198"/>
    </row>
    <row r="951" spans="19:19" ht="15.75" customHeight="1" x14ac:dyDescent="0.25">
      <c r="S951" s="198"/>
    </row>
    <row r="952" spans="19:19" ht="15.75" customHeight="1" x14ac:dyDescent="0.25">
      <c r="S952" s="198"/>
    </row>
    <row r="953" spans="19:19" ht="15.75" customHeight="1" x14ac:dyDescent="0.25">
      <c r="S953" s="198"/>
    </row>
    <row r="954" spans="19:19" ht="15.75" customHeight="1" x14ac:dyDescent="0.25">
      <c r="S954" s="198"/>
    </row>
    <row r="955" spans="19:19" ht="15.75" customHeight="1" x14ac:dyDescent="0.25">
      <c r="S955" s="198"/>
    </row>
    <row r="956" spans="19:19" ht="15.75" customHeight="1" x14ac:dyDescent="0.25">
      <c r="S956" s="198"/>
    </row>
    <row r="957" spans="19:19" ht="15.75" customHeight="1" x14ac:dyDescent="0.25">
      <c r="S957" s="198"/>
    </row>
    <row r="958" spans="19:19" ht="15.75" customHeight="1" x14ac:dyDescent="0.25">
      <c r="S958" s="198"/>
    </row>
    <row r="959" spans="19:19" ht="15.75" customHeight="1" x14ac:dyDescent="0.25">
      <c r="S959" s="198"/>
    </row>
    <row r="960" spans="19:19" ht="15.75" customHeight="1" x14ac:dyDescent="0.25">
      <c r="S960" s="198"/>
    </row>
    <row r="961" spans="19:19" ht="15.75" customHeight="1" x14ac:dyDescent="0.25">
      <c r="S961" s="198"/>
    </row>
    <row r="962" spans="19:19" ht="15.75" customHeight="1" x14ac:dyDescent="0.25">
      <c r="S962" s="198"/>
    </row>
    <row r="963" spans="19:19" ht="15.75" customHeight="1" x14ac:dyDescent="0.25">
      <c r="S963" s="198"/>
    </row>
    <row r="964" spans="19:19" ht="15.75" customHeight="1" x14ac:dyDescent="0.25">
      <c r="S964" s="198"/>
    </row>
    <row r="965" spans="19:19" ht="15.75" customHeight="1" x14ac:dyDescent="0.25">
      <c r="S965" s="198"/>
    </row>
    <row r="966" spans="19:19" ht="15.75" customHeight="1" x14ac:dyDescent="0.25">
      <c r="S966" s="198"/>
    </row>
    <row r="967" spans="19:19" ht="15.75" customHeight="1" x14ac:dyDescent="0.25">
      <c r="S967" s="198"/>
    </row>
    <row r="968" spans="19:19" ht="15.75" customHeight="1" x14ac:dyDescent="0.25">
      <c r="S968" s="198"/>
    </row>
    <row r="969" spans="19:19" ht="15.75" customHeight="1" x14ac:dyDescent="0.25">
      <c r="S969" s="198"/>
    </row>
    <row r="970" spans="19:19" ht="15.75" customHeight="1" x14ac:dyDescent="0.25">
      <c r="S970" s="198"/>
    </row>
    <row r="971" spans="19:19" ht="15.75" customHeight="1" x14ac:dyDescent="0.25">
      <c r="S971" s="198"/>
    </row>
    <row r="972" spans="19:19" ht="15.75" customHeight="1" x14ac:dyDescent="0.25">
      <c r="S972" s="198"/>
    </row>
    <row r="973" spans="19:19" ht="15.75" customHeight="1" x14ac:dyDescent="0.25">
      <c r="S973" s="198"/>
    </row>
    <row r="974" spans="19:19" ht="15.75" customHeight="1" x14ac:dyDescent="0.25">
      <c r="S974" s="198"/>
    </row>
    <row r="975" spans="19:19" ht="15.75" customHeight="1" x14ac:dyDescent="0.25">
      <c r="S975" s="198"/>
    </row>
    <row r="976" spans="19:19" ht="15.75" customHeight="1" x14ac:dyDescent="0.25">
      <c r="S976" s="198"/>
    </row>
    <row r="977" spans="19:19" ht="15.75" customHeight="1" x14ac:dyDescent="0.25">
      <c r="S977" s="198"/>
    </row>
    <row r="978" spans="19:19" ht="15.75" customHeight="1" x14ac:dyDescent="0.25">
      <c r="S978" s="198"/>
    </row>
    <row r="979" spans="19:19" ht="15.75" customHeight="1" x14ac:dyDescent="0.25">
      <c r="S979" s="198"/>
    </row>
    <row r="980" spans="19:19" ht="15.75" customHeight="1" x14ac:dyDescent="0.25">
      <c r="S980" s="198"/>
    </row>
    <row r="981" spans="19:19" ht="15.75" customHeight="1" x14ac:dyDescent="0.25">
      <c r="S981" s="198"/>
    </row>
    <row r="982" spans="19:19" ht="15.75" customHeight="1" x14ac:dyDescent="0.25">
      <c r="S982" s="198"/>
    </row>
    <row r="983" spans="19:19" ht="15.75" customHeight="1" x14ac:dyDescent="0.25">
      <c r="S983" s="198"/>
    </row>
    <row r="984" spans="19:19" ht="15.75" customHeight="1" x14ac:dyDescent="0.25">
      <c r="S984" s="198"/>
    </row>
    <row r="985" spans="19:19" ht="15.75" customHeight="1" x14ac:dyDescent="0.25">
      <c r="S985" s="198"/>
    </row>
    <row r="986" spans="19:19" ht="15.75" customHeight="1" x14ac:dyDescent="0.25">
      <c r="S986" s="198"/>
    </row>
    <row r="987" spans="19:19" ht="15.75" customHeight="1" x14ac:dyDescent="0.25">
      <c r="S987" s="198"/>
    </row>
    <row r="988" spans="19:19" ht="15.75" customHeight="1" x14ac:dyDescent="0.25">
      <c r="S988" s="198"/>
    </row>
    <row r="989" spans="19:19" ht="15.75" customHeight="1" x14ac:dyDescent="0.25">
      <c r="S989" s="198"/>
    </row>
    <row r="990" spans="19:19" ht="15.75" customHeight="1" x14ac:dyDescent="0.25">
      <c r="S990" s="198"/>
    </row>
    <row r="991" spans="19:19" ht="15.75" customHeight="1" x14ac:dyDescent="0.25">
      <c r="S991" s="198"/>
    </row>
    <row r="992" spans="19:19" ht="15.75" customHeight="1" x14ac:dyDescent="0.25">
      <c r="S992" s="198"/>
    </row>
    <row r="993" spans="19:19" ht="15.75" customHeight="1" x14ac:dyDescent="0.25">
      <c r="S993" s="198"/>
    </row>
  </sheetData>
  <mergeCells count="19">
    <mergeCell ref="BE1:BG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C1:D1"/>
    <mergeCell ref="E1:H1"/>
    <mergeCell ref="I1:K1"/>
    <mergeCell ref="L1:N1"/>
    <mergeCell ref="O1:Q1"/>
    <mergeCell ref="R1:T1"/>
  </mergeCells>
  <conditionalFormatting sqref="R72:T108 R114:T154 R110:T110 R3:T69">
    <cfRule type="cellIs" dxfId="14" priority="6" operator="between">
      <formula>"0%"</formula>
      <formula>"25%"</formula>
    </cfRule>
  </conditionalFormatting>
  <conditionalFormatting sqref="R72:T108 R114:T154 R110:T110 R3:T69">
    <cfRule type="cellIs" dxfId="13" priority="7" operator="between">
      <formula>"25.01%"</formula>
      <formula>"50%"</formula>
    </cfRule>
  </conditionalFormatting>
  <conditionalFormatting sqref="R72:T108 R114:T154 R110:T110 R3:T69">
    <cfRule type="cellIs" dxfId="12" priority="8" operator="between">
      <formula>"50.01%"</formula>
      <formula>"75%"</formula>
    </cfRule>
  </conditionalFormatting>
  <conditionalFormatting sqref="R72:T108 R114:T154 R110:T110 R3:T69">
    <cfRule type="cellIs" dxfId="11" priority="9" operator="between">
      <formula>"75.01%"</formula>
      <formula>"99.99%"</formula>
    </cfRule>
  </conditionalFormatting>
  <conditionalFormatting sqref="R72:T108 R114:T154 R110:T110 R3:T69">
    <cfRule type="cellIs" dxfId="10" priority="10" operator="greaterThanOrEqual">
      <formula>"100%"</formula>
    </cfRule>
  </conditionalFormatting>
  <conditionalFormatting sqref="R112:T112">
    <cfRule type="cellIs" dxfId="9" priority="11" operator="between">
      <formula>"0%"</formula>
      <formula>"25%"</formula>
    </cfRule>
  </conditionalFormatting>
  <conditionalFormatting sqref="R112:T112">
    <cfRule type="cellIs" dxfId="8" priority="12" operator="between">
      <formula>"25.01%"</formula>
      <formula>"50%"</formula>
    </cfRule>
  </conditionalFormatting>
  <conditionalFormatting sqref="R112:T112">
    <cfRule type="cellIs" dxfId="7" priority="13" operator="between">
      <formula>"50.01%"</formula>
      <formula>"75%"</formula>
    </cfRule>
  </conditionalFormatting>
  <conditionalFormatting sqref="R112:T112">
    <cfRule type="cellIs" dxfId="6" priority="14" operator="between">
      <formula>"75.01%"</formula>
      <formula>"99.99%"</formula>
    </cfRule>
  </conditionalFormatting>
  <conditionalFormatting sqref="R112:T112">
    <cfRule type="cellIs" dxfId="5" priority="15" operator="greaterThanOrEqual">
      <formula>"100%"</formula>
    </cfRule>
  </conditionalFormatting>
  <conditionalFormatting sqref="R70:T71">
    <cfRule type="cellIs" dxfId="4" priority="1" operator="between">
      <formula>"0%"</formula>
      <formula>"25%"</formula>
    </cfRule>
  </conditionalFormatting>
  <conditionalFormatting sqref="R70:T71">
    <cfRule type="cellIs" dxfId="3" priority="2" operator="between">
      <formula>"25.01%"</formula>
      <formula>"50%"</formula>
    </cfRule>
  </conditionalFormatting>
  <conditionalFormatting sqref="R70:T71">
    <cfRule type="cellIs" dxfId="2" priority="3" operator="between">
      <formula>"50.01%"</formula>
      <formula>"75%"</formula>
    </cfRule>
  </conditionalFormatting>
  <conditionalFormatting sqref="R70:T71">
    <cfRule type="cellIs" dxfId="1" priority="4" operator="between">
      <formula>"75.01%"</formula>
      <formula>"99.99%"</formula>
    </cfRule>
  </conditionalFormatting>
  <conditionalFormatting sqref="R70:T71">
    <cfRule type="cellIs" dxfId="0" priority="5" operator="greaterThanOrEqual">
      <formula>"100%"</formula>
    </cfRule>
  </conditionalFormatting>
  <pageMargins left="0.78749999999999998" right="0.78749999999999998" top="0.51180555555555496" bottom="0.51180555555555496" header="0" footer="0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PUBL.JUL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 Contabil</dc:creator>
  <cp:lastModifiedBy>Setor Contabil</cp:lastModifiedBy>
  <dcterms:created xsi:type="dcterms:W3CDTF">2021-08-20T22:31:56Z</dcterms:created>
  <dcterms:modified xsi:type="dcterms:W3CDTF">2021-08-20T22:36:26Z</dcterms:modified>
</cp:coreProperties>
</file>